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pindler\IVT-cloud\TECHNOBCHOD\POMUCKY\Výpočty\"/>
    </mc:Choice>
  </mc:AlternateContent>
  <xr:revisionPtr revIDLastSave="0" documentId="13_ncr:1_{754976D7-1D50-4548-91DF-40DAA18ABC2F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TV" sheetId="1" r:id="rId1"/>
    <sheet name="tisk" sheetId="2" r:id="rId2"/>
    <sheet name="návod" sheetId="4" r:id="rId3"/>
  </sheets>
  <definedNames>
    <definedName name="aku">TV!$J$45</definedName>
    <definedName name="ele">TV!$G$44</definedName>
    <definedName name="gas">TV!$G$59</definedName>
    <definedName name="ost">TV!$G$65</definedName>
    <definedName name="per">TV!$G$56</definedName>
    <definedName name="pot">TV!$E$35</definedName>
    <definedName name="spot">TV!$R$34</definedName>
    <definedName name="ukl">TV!$G$63</definedName>
    <definedName name="uzi">TV!$G$50</definedName>
    <definedName name="ztv">TV!$Q$9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6" i="1" l="1"/>
  <c r="O39" i="1"/>
  <c r="N40" i="1" s="1"/>
  <c r="Q9" i="1" s="1"/>
  <c r="J45" i="1"/>
  <c r="P48" i="1"/>
  <c r="J64" i="1"/>
  <c r="J62" i="1"/>
  <c r="J61" i="1"/>
  <c r="J60" i="1"/>
  <c r="J58" i="1"/>
  <c r="J57" i="1"/>
  <c r="J55" i="1"/>
  <c r="J54" i="1"/>
  <c r="J53" i="1"/>
  <c r="J52" i="1"/>
  <c r="J51" i="1"/>
  <c r="G50" i="1" l="1"/>
  <c r="G80" i="1"/>
  <c r="I82" i="1" s="1"/>
  <c r="G63" i="4"/>
  <c r="G61" i="4"/>
  <c r="G57" i="4"/>
  <c r="G54" i="4"/>
  <c r="G48" i="4"/>
  <c r="J44" i="4"/>
  <c r="N34" i="4"/>
  <c r="L34" i="4"/>
  <c r="J34" i="4"/>
  <c r="H34" i="4"/>
  <c r="F34" i="4"/>
  <c r="AC9" i="4"/>
  <c r="D15" i="2"/>
  <c r="D13" i="2"/>
  <c r="G56" i="1"/>
  <c r="H35" i="1" s="1"/>
  <c r="G59" i="1"/>
  <c r="J35" i="1" s="1"/>
  <c r="G63" i="1"/>
  <c r="M25" i="1" s="1"/>
  <c r="G65" i="1"/>
  <c r="O30" i="1" s="1"/>
  <c r="N34" i="1"/>
  <c r="L34" i="1"/>
  <c r="J34" i="1"/>
  <c r="H34" i="1"/>
  <c r="F34" i="1"/>
  <c r="G11" i="4" l="1"/>
  <c r="G12" i="1"/>
  <c r="G15" i="1"/>
  <c r="O18" i="1"/>
  <c r="O17" i="1"/>
  <c r="O15" i="1"/>
  <c r="O16" i="1"/>
  <c r="O29" i="4"/>
  <c r="N35" i="1"/>
  <c r="O25" i="4"/>
  <c r="O28" i="1"/>
  <c r="O27" i="4"/>
  <c r="O32" i="4"/>
  <c r="O23" i="4"/>
  <c r="O14" i="4"/>
  <c r="O32" i="1"/>
  <c r="O12" i="4"/>
  <c r="O33" i="1"/>
  <c r="O10" i="4"/>
  <c r="O27" i="1"/>
  <c r="D6" i="2"/>
  <c r="O31" i="1"/>
  <c r="O26" i="1"/>
  <c r="O21" i="4"/>
  <c r="O13" i="1"/>
  <c r="O26" i="4"/>
  <c r="O24" i="1"/>
  <c r="O12" i="1"/>
  <c r="O17" i="4"/>
  <c r="K17" i="1"/>
  <c r="O14" i="1"/>
  <c r="O24" i="4"/>
  <c r="O23" i="1"/>
  <c r="O11" i="1"/>
  <c r="O15" i="4"/>
  <c r="K16" i="1"/>
  <c r="D8" i="2"/>
  <c r="O30" i="4"/>
  <c r="O19" i="4"/>
  <c r="K25" i="1"/>
  <c r="O22" i="4"/>
  <c r="O22" i="1"/>
  <c r="O10" i="1"/>
  <c r="O13" i="4"/>
  <c r="K33" i="4"/>
  <c r="O28" i="4"/>
  <c r="O21" i="1"/>
  <c r="O18" i="4"/>
  <c r="O20" i="1"/>
  <c r="O33" i="4"/>
  <c r="O29" i="1"/>
  <c r="O25" i="1"/>
  <c r="O20" i="4"/>
  <c r="N35" i="4"/>
  <c r="O11" i="4"/>
  <c r="O16" i="4"/>
  <c r="O19" i="1"/>
  <c r="O31" i="4"/>
  <c r="I19" i="4"/>
  <c r="I15" i="1"/>
  <c r="J35" i="4"/>
  <c r="K20" i="4"/>
  <c r="K19" i="4"/>
  <c r="K30" i="1"/>
  <c r="K18" i="4"/>
  <c r="K17" i="4"/>
  <c r="K24" i="1"/>
  <c r="I22" i="4"/>
  <c r="I32" i="1"/>
  <c r="I33" i="1"/>
  <c r="D5" i="2"/>
  <c r="I16" i="1"/>
  <c r="I23" i="4"/>
  <c r="I25" i="1"/>
  <c r="I17" i="4"/>
  <c r="I23" i="1"/>
  <c r="I28" i="1"/>
  <c r="I22" i="1"/>
  <c r="I33" i="4"/>
  <c r="I30" i="4"/>
  <c r="I14" i="4"/>
  <c r="I27" i="1"/>
  <c r="H35" i="4"/>
  <c r="I29" i="1"/>
  <c r="I19" i="1"/>
  <c r="I31" i="4"/>
  <c r="I26" i="4"/>
  <c r="I14" i="1"/>
  <c r="I13" i="4"/>
  <c r="I31" i="1"/>
  <c r="I17" i="1"/>
  <c r="I29" i="4"/>
  <c r="I24" i="4"/>
  <c r="I20" i="4"/>
  <c r="I26" i="1"/>
  <c r="I24" i="1"/>
  <c r="I11" i="1"/>
  <c r="I15" i="4"/>
  <c r="I10" i="4"/>
  <c r="M16" i="1"/>
  <c r="M24" i="1"/>
  <c r="M33" i="4"/>
  <c r="M17" i="4"/>
  <c r="M24" i="4"/>
  <c r="D16" i="2"/>
  <c r="G23" i="4"/>
  <c r="G32" i="1"/>
  <c r="G11" i="1"/>
  <c r="G29" i="1"/>
  <c r="G18" i="4"/>
  <c r="G20" i="1"/>
  <c r="G20" i="4"/>
  <c r="G13" i="1"/>
  <c r="G15" i="4"/>
  <c r="G31" i="4"/>
  <c r="G10" i="4"/>
  <c r="G17" i="4"/>
  <c r="G33" i="4"/>
  <c r="G12" i="4"/>
  <c r="G28" i="4"/>
  <c r="G24" i="1"/>
  <c r="G25" i="4"/>
  <c r="G19" i="4"/>
  <c r="F35" i="4"/>
  <c r="G14" i="4"/>
  <c r="G30" i="4"/>
  <c r="G22" i="1"/>
  <c r="G21" i="4"/>
  <c r="G10" i="1"/>
  <c r="G16" i="4"/>
  <c r="G32" i="4"/>
  <c r="G21" i="1"/>
  <c r="G30" i="1"/>
  <c r="G22" i="4"/>
  <c r="G13" i="4"/>
  <c r="G29" i="4"/>
  <c r="G14" i="1"/>
  <c r="G24" i="4"/>
  <c r="G28" i="1"/>
  <c r="G27" i="4"/>
  <c r="G26" i="4"/>
  <c r="G27" i="1"/>
  <c r="M31" i="1"/>
  <c r="M15" i="1"/>
  <c r="M29" i="1"/>
  <c r="M33" i="1"/>
  <c r="M19" i="1"/>
  <c r="M11" i="1"/>
  <c r="M23" i="4"/>
  <c r="M30" i="4"/>
  <c r="M14" i="4"/>
  <c r="K28" i="1"/>
  <c r="K26" i="4"/>
  <c r="K10" i="4"/>
  <c r="K20" i="1"/>
  <c r="K12" i="1"/>
  <c r="K25" i="4"/>
  <c r="I30" i="1"/>
  <c r="D7" i="2"/>
  <c r="I18" i="1"/>
  <c r="I10" i="1"/>
  <c r="I21" i="4"/>
  <c r="I28" i="4"/>
  <c r="I12" i="4"/>
  <c r="M18" i="1"/>
  <c r="M10" i="1"/>
  <c r="M21" i="4"/>
  <c r="M28" i="4"/>
  <c r="M12" i="4"/>
  <c r="K29" i="1"/>
  <c r="K33" i="1"/>
  <c r="K24" i="4"/>
  <c r="K27" i="1"/>
  <c r="K19" i="1"/>
  <c r="K11" i="1"/>
  <c r="K23" i="4"/>
  <c r="G16" i="1"/>
  <c r="G31" i="1"/>
  <c r="G23" i="1"/>
  <c r="M30" i="1"/>
  <c r="M17" i="1"/>
  <c r="L35" i="4"/>
  <c r="M19" i="4"/>
  <c r="M26" i="4"/>
  <c r="M10" i="4"/>
  <c r="K22" i="4"/>
  <c r="K26" i="1"/>
  <c r="K18" i="1"/>
  <c r="K10" i="1"/>
  <c r="K21" i="4"/>
  <c r="M31" i="4"/>
  <c r="M22" i="4"/>
  <c r="M22" i="1"/>
  <c r="M29" i="4"/>
  <c r="M13" i="4"/>
  <c r="M20" i="4"/>
  <c r="K31" i="1"/>
  <c r="K32" i="4"/>
  <c r="K16" i="4"/>
  <c r="K23" i="1"/>
  <c r="K15" i="1"/>
  <c r="K31" i="4"/>
  <c r="K15" i="4"/>
  <c r="M28" i="1"/>
  <c r="M32" i="1"/>
  <c r="I21" i="1"/>
  <c r="I13" i="1"/>
  <c r="I27" i="4"/>
  <c r="I11" i="4"/>
  <c r="I18" i="4"/>
  <c r="M21" i="1"/>
  <c r="M13" i="1"/>
  <c r="M27" i="4"/>
  <c r="M11" i="4"/>
  <c r="M18" i="4"/>
  <c r="M26" i="1"/>
  <c r="K30" i="4"/>
  <c r="K14" i="4"/>
  <c r="K22" i="1"/>
  <c r="K14" i="1"/>
  <c r="K29" i="4"/>
  <c r="K13" i="4"/>
  <c r="D4" i="2"/>
  <c r="G26" i="1"/>
  <c r="M23" i="1"/>
  <c r="M15" i="4"/>
  <c r="M14" i="1"/>
  <c r="I20" i="1"/>
  <c r="I12" i="1"/>
  <c r="I25" i="4"/>
  <c r="I32" i="4"/>
  <c r="I16" i="4"/>
  <c r="M20" i="1"/>
  <c r="M12" i="1"/>
  <c r="M25" i="4"/>
  <c r="M32" i="4"/>
  <c r="M16" i="4"/>
  <c r="M27" i="1"/>
  <c r="K32" i="1"/>
  <c r="K28" i="4"/>
  <c r="K12" i="4"/>
  <c r="K21" i="1"/>
  <c r="K13" i="1"/>
  <c r="K27" i="4"/>
  <c r="K11" i="4"/>
  <c r="F35" i="1"/>
  <c r="G33" i="1"/>
  <c r="G25" i="1"/>
  <c r="G19" i="1"/>
  <c r="G18" i="1"/>
  <c r="G17" i="1"/>
  <c r="L35" i="1"/>
  <c r="E16" i="1" l="1"/>
  <c r="E24" i="1"/>
  <c r="E25" i="1"/>
  <c r="E23" i="4"/>
  <c r="E33" i="4"/>
  <c r="E16" i="4"/>
  <c r="E33" i="1"/>
  <c r="E11" i="4"/>
  <c r="E17" i="4"/>
  <c r="E17" i="1"/>
  <c r="E18" i="1"/>
  <c r="E21" i="4"/>
  <c r="E32" i="1"/>
  <c r="E27" i="4"/>
  <c r="E21" i="1"/>
  <c r="E29" i="4"/>
  <c r="E23" i="1"/>
  <c r="E10" i="4"/>
  <c r="AB10" i="4" s="1"/>
  <c r="E20" i="4"/>
  <c r="E22" i="1"/>
  <c r="E19" i="4"/>
  <c r="E20" i="1"/>
  <c r="E15" i="4"/>
  <c r="E11" i="1"/>
  <c r="E30" i="4"/>
  <c r="E25" i="4"/>
  <c r="E13" i="4"/>
  <c r="E14" i="4"/>
  <c r="E28" i="4"/>
  <c r="E12" i="4"/>
  <c r="E29" i="1"/>
  <c r="E27" i="1"/>
  <c r="E18" i="4"/>
  <c r="E22" i="4"/>
  <c r="E13" i="1"/>
  <c r="E26" i="4"/>
  <c r="E24" i="4"/>
  <c r="E31" i="4"/>
  <c r="E30" i="1"/>
  <c r="E28" i="1"/>
  <c r="E32" i="4"/>
  <c r="E12" i="1"/>
  <c r="E15" i="1"/>
  <c r="E19" i="1"/>
  <c r="E10" i="1"/>
  <c r="E26" i="1"/>
  <c r="E14" i="1"/>
  <c r="E31" i="1"/>
  <c r="AB10" i="1" l="1"/>
  <c r="AB11" i="1" s="1"/>
  <c r="AB12" i="1" s="1"/>
  <c r="AB13" i="1" s="1"/>
  <c r="AB14" i="1" s="1"/>
  <c r="AB15" i="1" s="1"/>
  <c r="AB16" i="1" s="1"/>
  <c r="AB17" i="1" s="1"/>
  <c r="AB18" i="1" s="1"/>
  <c r="AB19" i="1" s="1"/>
  <c r="AB20" i="1" s="1"/>
  <c r="AB21" i="1" s="1"/>
  <c r="AB22" i="1" s="1"/>
  <c r="AB23" i="1" s="1"/>
  <c r="AB24" i="1" s="1"/>
  <c r="AB25" i="1" s="1"/>
  <c r="AB26" i="1" s="1"/>
  <c r="AB27" i="1" s="1"/>
  <c r="AB28" i="1" s="1"/>
  <c r="AB29" i="1" s="1"/>
  <c r="AB30" i="1" s="1"/>
  <c r="AB31" i="1" s="1"/>
  <c r="AB32" i="1" s="1"/>
  <c r="AB33" i="1" s="1"/>
  <c r="AB11" i="4"/>
  <c r="AB12" i="4" s="1"/>
  <c r="AB13" i="4" s="1"/>
  <c r="AB14" i="4" s="1"/>
  <c r="AB15" i="4" s="1"/>
  <c r="AB16" i="4" s="1"/>
  <c r="AB17" i="4" s="1"/>
  <c r="AB18" i="4" s="1"/>
  <c r="AB19" i="4" s="1"/>
  <c r="AB20" i="4" s="1"/>
  <c r="AB21" i="4" s="1"/>
  <c r="AB22" i="4" s="1"/>
  <c r="AB23" i="4" s="1"/>
  <c r="AB24" i="4" s="1"/>
  <c r="AB25" i="4" s="1"/>
  <c r="AB26" i="4" s="1"/>
  <c r="AB27" i="4" s="1"/>
  <c r="AB28" i="4" s="1"/>
  <c r="AB29" i="4" s="1"/>
  <c r="AB30" i="4" s="1"/>
  <c r="AB31" i="4" s="1"/>
  <c r="AB32" i="4" s="1"/>
  <c r="AB33" i="4" s="1"/>
  <c r="E35" i="4"/>
  <c r="E35" i="1"/>
  <c r="F48" i="1" l="1"/>
  <c r="G47" i="1"/>
  <c r="Q26" i="1"/>
  <c r="R26" i="1" s="1"/>
  <c r="Q29" i="4"/>
  <c r="R29" i="4" s="1"/>
  <c r="Q23" i="1"/>
  <c r="R23" i="1" s="1"/>
  <c r="Q10" i="1"/>
  <c r="R10" i="1" s="1"/>
  <c r="T10" i="1" s="1"/>
  <c r="Q20" i="1"/>
  <c r="R20" i="1" s="1"/>
  <c r="Q19" i="4"/>
  <c r="R19" i="4" s="1"/>
  <c r="Q12" i="4"/>
  <c r="R12" i="4" s="1"/>
  <c r="Q21" i="1"/>
  <c r="R21" i="1" s="1"/>
  <c r="Q13" i="1"/>
  <c r="R13" i="1" s="1"/>
  <c r="Q32" i="1"/>
  <c r="R32" i="1" s="1"/>
  <c r="Q32" i="4"/>
  <c r="R32" i="4" s="1"/>
  <c r="Q16" i="4"/>
  <c r="R16" i="4" s="1"/>
  <c r="Q30" i="4"/>
  <c r="R30" i="4" s="1"/>
  <c r="Q28" i="1"/>
  <c r="R28" i="1" s="1"/>
  <c r="Q29" i="1"/>
  <c r="R29" i="1" s="1"/>
  <c r="Q19" i="1"/>
  <c r="R19" i="1" s="1"/>
  <c r="Q17" i="1"/>
  <c r="R17" i="1" s="1"/>
  <c r="Q12" i="1"/>
  <c r="Q26" i="4"/>
  <c r="R26" i="4" s="1"/>
  <c r="Q15" i="4"/>
  <c r="R15" i="4" s="1"/>
  <c r="Q20" i="4"/>
  <c r="R20" i="4" s="1"/>
  <c r="Q17" i="4"/>
  <c r="R17" i="4" s="1"/>
  <c r="Q33" i="1"/>
  <c r="R33" i="1" s="1"/>
  <c r="Q16" i="1"/>
  <c r="R16" i="1" s="1"/>
  <c r="Q21" i="4"/>
  <c r="R21" i="4" s="1"/>
  <c r="Q31" i="1"/>
  <c r="R31" i="1" s="1"/>
  <c r="Q22" i="1"/>
  <c r="R22" i="1" s="1"/>
  <c r="Q11" i="1"/>
  <c r="Q30" i="1"/>
  <c r="R30" i="1" s="1"/>
  <c r="Q18" i="4"/>
  <c r="R18" i="4" s="1"/>
  <c r="Q31" i="4"/>
  <c r="R31" i="4" s="1"/>
  <c r="Q11" i="4"/>
  <c r="R11" i="4" s="1"/>
  <c r="Q24" i="4"/>
  <c r="R24" i="4" s="1"/>
  <c r="Q33" i="4"/>
  <c r="R33" i="4" s="1"/>
  <c r="Q24" i="1"/>
  <c r="R24" i="1" s="1"/>
  <c r="Q25" i="4"/>
  <c r="R25" i="4" s="1"/>
  <c r="Q15" i="1"/>
  <c r="R15" i="1" s="1"/>
  <c r="Q22" i="4"/>
  <c r="R22" i="4" s="1"/>
  <c r="Q13" i="4"/>
  <c r="R13" i="4" s="1"/>
  <c r="Q23" i="4"/>
  <c r="R23" i="4" s="1"/>
  <c r="Q14" i="1"/>
  <c r="R14" i="1" s="1"/>
  <c r="Q27" i="4"/>
  <c r="R27" i="4" s="1"/>
  <c r="Q25" i="1"/>
  <c r="R25" i="1" s="1"/>
  <c r="Q28" i="4"/>
  <c r="R28" i="4" s="1"/>
  <c r="Q14" i="4"/>
  <c r="R14" i="4" s="1"/>
  <c r="Q18" i="1"/>
  <c r="R18" i="1" s="1"/>
  <c r="Q27" i="1"/>
  <c r="R27" i="1" s="1"/>
  <c r="Q10" i="4"/>
  <c r="S10" i="1" l="1"/>
  <c r="U10" i="1"/>
  <c r="AA10" i="1"/>
  <c r="AA11" i="1" s="1"/>
  <c r="AA12" i="1" s="1"/>
  <c r="AA13" i="1" s="1"/>
  <c r="AA14" i="1" s="1"/>
  <c r="AA15" i="1" s="1"/>
  <c r="AA16" i="1" s="1"/>
  <c r="AA17" i="1" s="1"/>
  <c r="AA18" i="1" s="1"/>
  <c r="AA19" i="1" s="1"/>
  <c r="AA20" i="1" s="1"/>
  <c r="AA21" i="1" s="1"/>
  <c r="AA22" i="1" s="1"/>
  <c r="AA23" i="1" s="1"/>
  <c r="AA24" i="1" s="1"/>
  <c r="AA25" i="1" s="1"/>
  <c r="AA26" i="1" s="1"/>
  <c r="AA27" i="1" s="1"/>
  <c r="AA28" i="1" s="1"/>
  <c r="AA29" i="1" s="1"/>
  <c r="AA30" i="1" s="1"/>
  <c r="AA31" i="1" s="1"/>
  <c r="AA32" i="1" s="1"/>
  <c r="AA33" i="1" s="1"/>
  <c r="P35" i="1"/>
  <c r="R12" i="1"/>
  <c r="R11" i="1"/>
  <c r="R10" i="4"/>
  <c r="P35" i="4"/>
  <c r="AA10" i="4"/>
  <c r="AA11" i="4" s="1"/>
  <c r="AA12" i="4" s="1"/>
  <c r="AA13" i="4" s="1"/>
  <c r="AA14" i="4" s="1"/>
  <c r="AA15" i="4" s="1"/>
  <c r="AA16" i="4" s="1"/>
  <c r="AA17" i="4" s="1"/>
  <c r="AA18" i="4" s="1"/>
  <c r="AA19" i="4" s="1"/>
  <c r="AA20" i="4" s="1"/>
  <c r="AA21" i="4" s="1"/>
  <c r="AA22" i="4" s="1"/>
  <c r="AA23" i="4" s="1"/>
  <c r="AA24" i="4" s="1"/>
  <c r="AA25" i="4" s="1"/>
  <c r="AA26" i="4" s="1"/>
  <c r="AA27" i="4" s="1"/>
  <c r="AA28" i="4" s="1"/>
  <c r="AA29" i="4" s="1"/>
  <c r="AA30" i="4" s="1"/>
  <c r="AA31" i="4" s="1"/>
  <c r="AA32" i="4" s="1"/>
  <c r="AA33" i="4" s="1"/>
  <c r="X10" i="1" l="1"/>
  <c r="X11" i="1" s="1"/>
  <c r="R34" i="1"/>
  <c r="X10" i="4"/>
  <c r="X11" i="4" s="1"/>
  <c r="X12" i="4" s="1"/>
  <c r="T10" i="4"/>
  <c r="R34" i="4"/>
  <c r="D9" i="2"/>
  <c r="G71" i="1"/>
  <c r="G73" i="1" s="1"/>
  <c r="S10" i="4" l="1"/>
  <c r="U10" i="4"/>
  <c r="W10" i="1"/>
  <c r="W11" i="1" s="1"/>
  <c r="G41" i="1"/>
  <c r="W10" i="4"/>
  <c r="W11" i="4" s="1"/>
  <c r="G40" i="4"/>
  <c r="G10" i="2"/>
  <c r="D10" i="2"/>
  <c r="G76" i="1"/>
  <c r="G74" i="1"/>
  <c r="F82" i="1" s="1"/>
  <c r="X13" i="4"/>
  <c r="Y11" i="1" l="1"/>
  <c r="X12" i="1"/>
  <c r="X13" i="1" s="1"/>
  <c r="X14" i="1" s="1"/>
  <c r="Y10" i="1"/>
  <c r="Y10" i="4"/>
  <c r="W12" i="4"/>
  <c r="Y11" i="4"/>
  <c r="AC10" i="4"/>
  <c r="T11" i="4"/>
  <c r="X14" i="4"/>
  <c r="W13" i="4" l="1"/>
  <c r="Y12" i="4"/>
  <c r="W12" i="1"/>
  <c r="W13" i="1" s="1"/>
  <c r="S11" i="4"/>
  <c r="U11" i="4"/>
  <c r="X15" i="4"/>
  <c r="X15" i="1"/>
  <c r="AC11" i="4" l="1"/>
  <c r="T12" i="4"/>
  <c r="Y12" i="1"/>
  <c r="W14" i="4"/>
  <c r="Y13" i="4"/>
  <c r="X16" i="1"/>
  <c r="X16" i="4"/>
  <c r="S12" i="4" l="1"/>
  <c r="U12" i="4"/>
  <c r="W15" i="4"/>
  <c r="Y14" i="4"/>
  <c r="W14" i="1"/>
  <c r="Y13" i="1"/>
  <c r="X17" i="4"/>
  <c r="X17" i="1"/>
  <c r="W16" i="4" l="1"/>
  <c r="Y15" i="4"/>
  <c r="W15" i="1"/>
  <c r="Y14" i="1"/>
  <c r="AC12" i="4"/>
  <c r="T13" i="4"/>
  <c r="X18" i="4"/>
  <c r="X18" i="1"/>
  <c r="S13" i="4" l="1"/>
  <c r="U13" i="4"/>
  <c r="W16" i="1"/>
  <c r="Y15" i="1"/>
  <c r="W17" i="4"/>
  <c r="Y16" i="4"/>
  <c r="X19" i="1"/>
  <c r="X19" i="4"/>
  <c r="W18" i="4" l="1"/>
  <c r="Y17" i="4"/>
  <c r="AC13" i="4"/>
  <c r="T14" i="4"/>
  <c r="W17" i="1"/>
  <c r="Y16" i="1"/>
  <c r="X20" i="1"/>
  <c r="X20" i="4"/>
  <c r="W18" i="1" l="1"/>
  <c r="Y17" i="1"/>
  <c r="S14" i="4"/>
  <c r="U14" i="4"/>
  <c r="W19" i="4"/>
  <c r="Y18" i="4"/>
  <c r="X21" i="4"/>
  <c r="X21" i="1"/>
  <c r="W20" i="4" l="1"/>
  <c r="Y19" i="4"/>
  <c r="AC14" i="4"/>
  <c r="T15" i="4"/>
  <c r="W19" i="1"/>
  <c r="Y18" i="1"/>
  <c r="X22" i="1"/>
  <c r="X22" i="4"/>
  <c r="W20" i="1" l="1"/>
  <c r="Y19" i="1"/>
  <c r="S15" i="4"/>
  <c r="U15" i="4"/>
  <c r="W21" i="4"/>
  <c r="Y20" i="4"/>
  <c r="X23" i="1"/>
  <c r="X23" i="4"/>
  <c r="AC15" i="4" l="1"/>
  <c r="T16" i="4"/>
  <c r="S16" i="4" s="1"/>
  <c r="W22" i="4"/>
  <c r="Y21" i="4"/>
  <c r="W21" i="1"/>
  <c r="Y20" i="1"/>
  <c r="X24" i="4"/>
  <c r="X24" i="1"/>
  <c r="X25" i="1" s="1"/>
  <c r="U16" i="4" l="1"/>
  <c r="T17" i="4" s="1"/>
  <c r="S17" i="4" s="1"/>
  <c r="W23" i="4"/>
  <c r="Y22" i="4"/>
  <c r="W22" i="1"/>
  <c r="Y21" i="1"/>
  <c r="X25" i="4"/>
  <c r="AC16" i="4" l="1"/>
  <c r="U17" i="4"/>
  <c r="T18" i="4" s="1"/>
  <c r="S18" i="4" s="1"/>
  <c r="W24" i="4"/>
  <c r="Y23" i="4"/>
  <c r="W23" i="1"/>
  <c r="Y22" i="1"/>
  <c r="X26" i="1"/>
  <c r="X26" i="4"/>
  <c r="AC17" i="4" l="1"/>
  <c r="W24" i="1"/>
  <c r="Y23" i="1"/>
  <c r="W25" i="4"/>
  <c r="Y24" i="4"/>
  <c r="X27" i="1"/>
  <c r="U18" i="4"/>
  <c r="X27" i="4"/>
  <c r="W26" i="4" l="1"/>
  <c r="Y25" i="4"/>
  <c r="W25" i="1"/>
  <c r="Y24" i="1"/>
  <c r="AC18" i="4"/>
  <c r="T19" i="4"/>
  <c r="S19" i="4" s="1"/>
  <c r="X28" i="4"/>
  <c r="X28" i="1"/>
  <c r="W26" i="1" l="1"/>
  <c r="Y25" i="1"/>
  <c r="W27" i="4"/>
  <c r="Y26" i="4"/>
  <c r="U19" i="4"/>
  <c r="X29" i="4"/>
  <c r="X29" i="1"/>
  <c r="W27" i="1" l="1"/>
  <c r="Y26" i="1"/>
  <c r="W28" i="4"/>
  <c r="Y27" i="4"/>
  <c r="X30" i="1"/>
  <c r="AC19" i="4"/>
  <c r="T20" i="4"/>
  <c r="S20" i="4" s="1"/>
  <c r="X30" i="4"/>
  <c r="W29" i="4" l="1"/>
  <c r="Y28" i="4"/>
  <c r="W28" i="1"/>
  <c r="Y27" i="1"/>
  <c r="X31" i="4"/>
  <c r="X31" i="1"/>
  <c r="U20" i="4"/>
  <c r="W30" i="4" l="1"/>
  <c r="Y29" i="4"/>
  <c r="W29" i="1"/>
  <c r="Y28" i="1"/>
  <c r="X32" i="4"/>
  <c r="AC20" i="4"/>
  <c r="T21" i="4"/>
  <c r="S21" i="4" s="1"/>
  <c r="X32" i="1"/>
  <c r="W30" i="1" l="1"/>
  <c r="Y29" i="1"/>
  <c r="W31" i="4"/>
  <c r="Y30" i="4"/>
  <c r="X33" i="1"/>
  <c r="X33" i="4"/>
  <c r="U21" i="4"/>
  <c r="W32" i="4" l="1"/>
  <c r="Y31" i="4"/>
  <c r="W31" i="1"/>
  <c r="Y30" i="1"/>
  <c r="AC21" i="4"/>
  <c r="T22" i="4"/>
  <c r="S22" i="4" s="1"/>
  <c r="W32" i="1" l="1"/>
  <c r="Y31" i="1"/>
  <c r="W33" i="4"/>
  <c r="Y33" i="4" s="1"/>
  <c r="Y32" i="4"/>
  <c r="U22" i="4"/>
  <c r="Y36" i="4" l="1"/>
  <c r="Y35" i="4"/>
  <c r="W33" i="1"/>
  <c r="Y33" i="1" s="1"/>
  <c r="Y32" i="1"/>
  <c r="AC22" i="4"/>
  <c r="T23" i="4"/>
  <c r="S23" i="4" s="1"/>
  <c r="Y35" i="1" l="1"/>
  <c r="Y36" i="1"/>
  <c r="Y37" i="4"/>
  <c r="J41" i="4" s="1"/>
  <c r="G41" i="4" s="1"/>
  <c r="U23" i="4"/>
  <c r="Y38" i="1" l="1"/>
  <c r="J42" i="1" s="1"/>
  <c r="G42" i="1" s="1"/>
  <c r="AC23" i="4"/>
  <c r="T24" i="4"/>
  <c r="S24" i="4" s="1"/>
  <c r="U24" i="4" l="1"/>
  <c r="AC24" i="4" l="1"/>
  <c r="T25" i="4"/>
  <c r="S25" i="4" s="1"/>
  <c r="U25" i="4" l="1"/>
  <c r="AC25" i="4" l="1"/>
  <c r="T26" i="4"/>
  <c r="S26" i="4" s="1"/>
  <c r="U26" i="4" l="1"/>
  <c r="AC26" i="4" l="1"/>
  <c r="T27" i="4"/>
  <c r="S27" i="4" s="1"/>
  <c r="U27" i="4" l="1"/>
  <c r="AC27" i="4" l="1"/>
  <c r="T28" i="4"/>
  <c r="S28" i="4" s="1"/>
  <c r="U28" i="4" l="1"/>
  <c r="AC28" i="4" l="1"/>
  <c r="T29" i="4"/>
  <c r="S29" i="4" s="1"/>
  <c r="U29" i="4" l="1"/>
  <c r="AC29" i="4" l="1"/>
  <c r="T30" i="4"/>
  <c r="S30" i="4" s="1"/>
  <c r="U30" i="4" l="1"/>
  <c r="AC30" i="4" l="1"/>
  <c r="T31" i="4"/>
  <c r="S31" i="4" s="1"/>
  <c r="U31" i="4" l="1"/>
  <c r="AC31" i="4" l="1"/>
  <c r="T32" i="4"/>
  <c r="S32" i="4" s="1"/>
  <c r="U32" i="4" l="1"/>
  <c r="AC32" i="4" l="1"/>
  <c r="T33" i="4"/>
  <c r="S33" i="4" s="1"/>
  <c r="U33" i="4" l="1"/>
  <c r="AC33" i="4" s="1"/>
  <c r="AC9" i="1"/>
  <c r="AC10" i="1" l="1"/>
  <c r="T11" i="1"/>
  <c r="S11" i="1" s="1"/>
  <c r="U11" i="1" l="1"/>
  <c r="AC11" i="1" l="1"/>
  <c r="T12" i="1"/>
  <c r="S12" i="1" s="1"/>
  <c r="U12" i="1" l="1"/>
  <c r="T13" i="1" s="1"/>
  <c r="S13" i="1" s="1"/>
  <c r="AC12" i="1" l="1"/>
  <c r="U13" i="1"/>
  <c r="T14" i="1" l="1"/>
  <c r="S14" i="1" s="1"/>
  <c r="AC13" i="1"/>
  <c r="U14" i="1" l="1"/>
  <c r="T15" i="1" s="1"/>
  <c r="S15" i="1" s="1"/>
  <c r="AC14" i="1" l="1"/>
  <c r="U15" i="1"/>
  <c r="AC15" i="1" l="1"/>
  <c r="T16" i="1"/>
  <c r="S16" i="1" s="1"/>
  <c r="U16" i="1" l="1"/>
  <c r="T17" i="1" l="1"/>
  <c r="S17" i="1" s="1"/>
  <c r="AC16" i="1"/>
  <c r="U17" i="1" l="1"/>
  <c r="T18" i="1" l="1"/>
  <c r="S18" i="1" s="1"/>
  <c r="AC17" i="1"/>
  <c r="U18" i="1" l="1"/>
  <c r="AC18" i="1" s="1"/>
  <c r="T19" i="1" l="1"/>
  <c r="S19" i="1" s="1"/>
  <c r="U19" i="1" l="1"/>
  <c r="AC19" i="1" s="1"/>
  <c r="T20" i="1" l="1"/>
  <c r="S20" i="1" s="1"/>
  <c r="U20" i="1" l="1"/>
  <c r="AC20" i="1" s="1"/>
  <c r="T21" i="1" l="1"/>
  <c r="S21" i="1" s="1"/>
  <c r="U21" i="1" l="1"/>
  <c r="T22" i="1" s="1"/>
  <c r="S22" i="1" s="1"/>
  <c r="AC21" i="1" l="1"/>
  <c r="U22" i="1"/>
  <c r="AC22" i="1" l="1"/>
  <c r="T23" i="1"/>
  <c r="S23" i="1" s="1"/>
  <c r="U23" i="1" l="1"/>
  <c r="T24" i="1" s="1"/>
  <c r="S24" i="1" s="1"/>
  <c r="AC23" i="1" l="1"/>
  <c r="U24" i="1"/>
  <c r="AC24" i="1" s="1"/>
  <c r="T25" i="1" l="1"/>
  <c r="S25" i="1" s="1"/>
  <c r="U25" i="1" l="1"/>
  <c r="AC25" i="1" s="1"/>
  <c r="T26" i="1" l="1"/>
  <c r="S26" i="1" s="1"/>
  <c r="U26" i="1" l="1"/>
  <c r="AC26" i="1" s="1"/>
  <c r="T27" i="1" l="1"/>
  <c r="S27" i="1" s="1"/>
  <c r="U27" i="1" l="1"/>
  <c r="T28" i="1" s="1"/>
  <c r="S28" i="1" s="1"/>
  <c r="AC27" i="1" l="1"/>
  <c r="U28" i="1"/>
  <c r="T29" i="1" l="1"/>
  <c r="S29" i="1" s="1"/>
  <c r="AC28" i="1"/>
  <c r="U29" i="1" l="1"/>
  <c r="T30" i="1" l="1"/>
  <c r="S30" i="1" s="1"/>
  <c r="AC29" i="1"/>
  <c r="U30" i="1" l="1"/>
  <c r="AC30" i="1" s="1"/>
  <c r="T31" i="1" l="1"/>
  <c r="S31" i="1" s="1"/>
  <c r="U31" i="1" l="1"/>
  <c r="T32" i="1" s="1"/>
  <c r="S32" i="1" s="1"/>
  <c r="AC31" i="1" l="1"/>
  <c r="U32" i="1"/>
  <c r="T33" i="1" s="1"/>
  <c r="S33" i="1" s="1"/>
  <c r="AC32" i="1" l="1"/>
  <c r="U33" i="1"/>
  <c r="AC33" i="1" s="1"/>
</calcChain>
</file>

<file path=xl/sharedStrings.xml><?xml version="1.0" encoding="utf-8"?>
<sst xmlns="http://schemas.openxmlformats.org/spreadsheetml/2006/main" count="348" uniqueCount="119">
  <si>
    <t>Dimenzování ohřevu teplé vody</t>
  </si>
  <si>
    <t>doba</t>
  </si>
  <si>
    <t>-</t>
  </si>
  <si>
    <t>celkem</t>
  </si>
  <si>
    <t>uživatelé</t>
  </si>
  <si>
    <t>personál</t>
  </si>
  <si>
    <t>gastro</t>
  </si>
  <si>
    <t>úklid</t>
  </si>
  <si>
    <t>ostatní</t>
  </si>
  <si>
    <t>%</t>
  </si>
  <si>
    <t>kWh</t>
  </si>
  <si>
    <t>potřeba tepla pro přípravu TV v průběhu dne</t>
  </si>
  <si>
    <t>ideální stav</t>
  </si>
  <si>
    <t>navrhovaný stav</t>
  </si>
  <si>
    <t>objem akumulace</t>
  </si>
  <si>
    <t>kW</t>
  </si>
  <si>
    <r>
      <t>m</t>
    </r>
    <r>
      <rPr>
        <vertAlign val="superscript"/>
        <sz val="10"/>
        <rFont val="Arial"/>
        <family val="2"/>
        <charset val="238"/>
      </rPr>
      <t>3</t>
    </r>
  </si>
  <si>
    <t>potřeba tepla</t>
  </si>
  <si>
    <t>osob</t>
  </si>
  <si>
    <t>byty</t>
  </si>
  <si>
    <t>hotel</t>
  </si>
  <si>
    <t>ubytovna</t>
  </si>
  <si>
    <t>nemocnice</t>
  </si>
  <si>
    <t>lůžek</t>
  </si>
  <si>
    <t>čistý provoz</t>
  </si>
  <si>
    <t>špinavý provoz</t>
  </si>
  <si>
    <t>jen výdej</t>
  </si>
  <si>
    <t>malý sortiment</t>
  </si>
  <si>
    <t>restaurace</t>
  </si>
  <si>
    <t>jídel</t>
  </si>
  <si>
    <t>kWh/jídlo</t>
  </si>
  <si>
    <t>kWh/osoba.směna</t>
  </si>
  <si>
    <t>kWh/osoba.den</t>
  </si>
  <si>
    <t>plocha</t>
  </si>
  <si>
    <r>
      <t>kWh/100m</t>
    </r>
    <r>
      <rPr>
        <vertAlign val="superscript"/>
        <sz val="10"/>
        <rFont val="Arial"/>
        <family val="2"/>
        <charset val="238"/>
      </rPr>
      <t>2</t>
    </r>
  </si>
  <si>
    <r>
      <t>m</t>
    </r>
    <r>
      <rPr>
        <vertAlign val="superscript"/>
        <sz val="10"/>
        <rFont val="Arial"/>
        <family val="2"/>
        <charset val="238"/>
      </rPr>
      <t>2</t>
    </r>
  </si>
  <si>
    <t>množství vody</t>
  </si>
  <si>
    <r>
      <t>m</t>
    </r>
    <r>
      <rPr>
        <vertAlign val="superscript"/>
        <sz val="10"/>
        <rFont val="Arial"/>
        <family val="2"/>
        <charset val="238"/>
      </rPr>
      <t>3</t>
    </r>
    <r>
      <rPr>
        <sz val="10"/>
        <rFont val="Arial"/>
        <family val="2"/>
        <charset val="238"/>
      </rPr>
      <t>/den</t>
    </r>
  </si>
  <si>
    <t>sportovní zařízení</t>
  </si>
  <si>
    <t>sportovců</t>
  </si>
  <si>
    <t>kWh/sportovců.den</t>
  </si>
  <si>
    <t>uživatelé - celkem</t>
  </si>
  <si>
    <t>personál - celkem</t>
  </si>
  <si>
    <t>gastro - celkem</t>
  </si>
  <si>
    <t>úklid - celkem</t>
  </si>
  <si>
    <t>ostatní - celkem</t>
  </si>
  <si>
    <t>uvažovaný ohřev z 10°C na 55°C</t>
  </si>
  <si>
    <t>celkové hodnoty</t>
  </si>
  <si>
    <t>ztráta</t>
  </si>
  <si>
    <t xml:space="preserve">z = </t>
  </si>
  <si>
    <t>koeficient</t>
  </si>
  <si>
    <t>spotřeba</t>
  </si>
  <si>
    <t>celková</t>
  </si>
  <si>
    <t>výkon</t>
  </si>
  <si>
    <t>tj.</t>
  </si>
  <si>
    <t>ohřívače</t>
  </si>
  <si>
    <t>energie</t>
  </si>
  <si>
    <t>akumul.</t>
  </si>
  <si>
    <t>v čase 0 je nádrž nabitá</t>
  </si>
  <si>
    <t>pomocné</t>
  </si>
  <si>
    <t>kumul</t>
  </si>
  <si>
    <t>rozdíl</t>
  </si>
  <si>
    <t>min</t>
  </si>
  <si>
    <t>max</t>
  </si>
  <si>
    <t xml:space="preserve">   (doporučuju doplnit údaj z U32)</t>
  </si>
  <si>
    <r>
      <t>!</t>
    </r>
    <r>
      <rPr>
        <sz val="10"/>
        <rFont val="Arial"/>
        <family val="2"/>
        <charset val="238"/>
      </rPr>
      <t>možno měnit hodnoty</t>
    </r>
    <r>
      <rPr>
        <b/>
        <sz val="10"/>
        <rFont val="Arial"/>
        <family val="2"/>
        <charset val="238"/>
      </rPr>
      <t>!</t>
    </r>
  </si>
  <si>
    <t>graf</t>
  </si>
  <si>
    <t>potřeba</t>
  </si>
  <si>
    <t>akumulace</t>
  </si>
  <si>
    <t>čas</t>
  </si>
  <si>
    <t>Dimenzování spotřeby teplé vody</t>
  </si>
  <si>
    <t>ztráty v rozvodech</t>
  </si>
  <si>
    <t>=</t>
  </si>
  <si>
    <t>GJ</t>
  </si>
  <si>
    <t>navrhovaný výkon ohřívače</t>
  </si>
  <si>
    <t>navrhovaný objem akumulační nádrže</t>
  </si>
  <si>
    <r>
      <t>m</t>
    </r>
    <r>
      <rPr>
        <b/>
        <vertAlign val="superscript"/>
        <sz val="12"/>
        <rFont val="Arial"/>
        <family val="2"/>
        <charset val="238"/>
      </rPr>
      <t>3</t>
    </r>
  </si>
  <si>
    <t>což odpovídá</t>
  </si>
  <si>
    <r>
      <t>m</t>
    </r>
    <r>
      <rPr>
        <b/>
        <vertAlign val="superscript"/>
        <sz val="10"/>
        <rFont val="Arial"/>
        <family val="2"/>
        <charset val="238"/>
      </rPr>
      <t>3</t>
    </r>
  </si>
  <si>
    <t>celková spotřeba tepla</t>
  </si>
  <si>
    <t>m3/den</t>
  </si>
  <si>
    <t>cirkulace teplé vody</t>
  </si>
  <si>
    <t>ztráta v rozvodech</t>
  </si>
  <si>
    <t xml:space="preserve"> kW</t>
  </si>
  <si>
    <t>rozdíl TV - cirkulace</t>
  </si>
  <si>
    <t xml:space="preserve"> K </t>
  </si>
  <si>
    <t>2-3 K</t>
  </si>
  <si>
    <t>průtok cirkulací</t>
  </si>
  <si>
    <t xml:space="preserve"> l/s</t>
  </si>
  <si>
    <t xml:space="preserve"> m3/h</t>
  </si>
  <si>
    <t>dimenze cirkulace</t>
  </si>
  <si>
    <t xml:space="preserve"> </t>
  </si>
  <si>
    <t>DN</t>
  </si>
  <si>
    <t>rychlost v potrubí</t>
  </si>
  <si>
    <t>koeficient místních ztrát</t>
  </si>
  <si>
    <t xml:space="preserve"> 2-3</t>
  </si>
  <si>
    <t>tlaková ztráta rovné tr.</t>
  </si>
  <si>
    <t xml:space="preserve"> Pa/m</t>
  </si>
  <si>
    <t xml:space="preserve"> m/s</t>
  </si>
  <si>
    <t>délka potrubí</t>
  </si>
  <si>
    <t xml:space="preserve"> m</t>
  </si>
  <si>
    <t xml:space="preserve"> kPa</t>
  </si>
  <si>
    <t>cirkulační čerpadlo</t>
  </si>
  <si>
    <t>nabíjecí výkon TV</t>
  </si>
  <si>
    <t>l/den</t>
  </si>
  <si>
    <t>Teplota studené vody</t>
  </si>
  <si>
    <t>Teplota v AK.TV</t>
  </si>
  <si>
    <t>°C</t>
  </si>
  <si>
    <t>Teplota výstupu z AK.TV</t>
  </si>
  <si>
    <t>55°C VODY</t>
  </si>
  <si>
    <t>Spotřeba 55 °C vody</t>
  </si>
  <si>
    <t xml:space="preserve">Odpovídá </t>
  </si>
  <si>
    <t>odčerpané 55°C vody  z AK. TV o teplotě</t>
  </si>
  <si>
    <t>Teplota TV v rozvodech</t>
  </si>
  <si>
    <t>Doporučení koef Z</t>
  </si>
  <si>
    <t>Koeficient Z</t>
  </si>
  <si>
    <t>Teplota okolo potrubí</t>
  </si>
  <si>
    <t>Navýšení "z" na základě teploty v rozvodech</t>
  </si>
  <si>
    <t>propisuje se do Q9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</si>
</sst>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16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4"/>
      <name val="Arial"/>
      <family val="2"/>
      <charset val="238"/>
    </font>
    <font>
      <i/>
      <sz val="10"/>
      <name val="Arial"/>
      <family val="2"/>
      <charset val="238"/>
    </font>
    <font>
      <sz val="10"/>
      <name val="Arial"/>
      <family val="2"/>
      <charset val="238"/>
    </font>
    <font>
      <vertAlign val="superscript"/>
      <sz val="10"/>
      <name val="Arial"/>
      <family val="2"/>
      <charset val="238"/>
    </font>
    <font>
      <sz val="8"/>
      <name val="Arial"/>
      <family val="2"/>
      <charset val="238"/>
    </font>
    <font>
      <b/>
      <sz val="12"/>
      <name val="Arial"/>
      <family val="2"/>
      <charset val="238"/>
    </font>
    <font>
      <sz val="10"/>
      <color indexed="22"/>
      <name val="Arial"/>
      <family val="2"/>
      <charset val="238"/>
    </font>
    <font>
      <sz val="12"/>
      <name val="Arial"/>
      <family val="2"/>
      <charset val="238"/>
    </font>
    <font>
      <sz val="12"/>
      <name val="Arial"/>
      <family val="2"/>
      <charset val="238"/>
    </font>
    <font>
      <b/>
      <vertAlign val="superscript"/>
      <sz val="12"/>
      <name val="Arial"/>
      <family val="2"/>
      <charset val="238"/>
    </font>
    <font>
      <b/>
      <vertAlign val="superscript"/>
      <sz val="10"/>
      <name val="Arial"/>
      <family val="2"/>
      <charset val="238"/>
    </font>
    <font>
      <sz val="10"/>
      <color theme="0" tint="-4.9989318521683403E-2"/>
      <name val="Arial"/>
      <family val="2"/>
      <charset val="238"/>
    </font>
    <font>
      <sz val="9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9">
    <xf numFmtId="0" fontId="0" fillId="0" borderId="0" xfId="0"/>
    <xf numFmtId="0" fontId="3" fillId="0" borderId="0" xfId="0" applyFont="1"/>
    <xf numFmtId="0" fontId="0" fillId="0" borderId="0" xfId="0" applyAlignment="1">
      <alignment horizontal="center"/>
    </xf>
    <xf numFmtId="0" fontId="4" fillId="0" borderId="0" xfId="0" applyFont="1"/>
    <xf numFmtId="0" fontId="0" fillId="2" borderId="0" xfId="0" applyFill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 applyAlignment="1">
      <alignment horizontal="right"/>
    </xf>
    <xf numFmtId="0" fontId="0" fillId="0" borderId="20" xfId="0" applyBorder="1" applyAlignment="1">
      <alignment horizontal="right"/>
    </xf>
    <xf numFmtId="0" fontId="0" fillId="0" borderId="21" xfId="0" applyBorder="1"/>
    <xf numFmtId="0" fontId="0" fillId="0" borderId="22" xfId="0" applyBorder="1" applyAlignment="1">
      <alignment horizontal="right"/>
    </xf>
    <xf numFmtId="0" fontId="0" fillId="0" borderId="23" xfId="0" applyBorder="1"/>
    <xf numFmtId="0" fontId="5" fillId="0" borderId="14" xfId="0" applyFont="1" applyBorder="1"/>
    <xf numFmtId="0" fontId="0" fillId="0" borderId="19" xfId="0" applyBorder="1"/>
    <xf numFmtId="0" fontId="2" fillId="0" borderId="18" xfId="0" applyFont="1" applyBorder="1"/>
    <xf numFmtId="0" fontId="0" fillId="0" borderId="24" xfId="0" applyBorder="1"/>
    <xf numFmtId="0" fontId="2" fillId="0" borderId="25" xfId="0" applyFont="1" applyBorder="1" applyAlignment="1">
      <alignment horizontal="right"/>
    </xf>
    <xf numFmtId="0" fontId="4" fillId="0" borderId="15" xfId="0" applyFont="1" applyBorder="1"/>
    <xf numFmtId="0" fontId="4" fillId="2" borderId="26" xfId="0" applyFont="1" applyFill="1" applyBorder="1"/>
    <xf numFmtId="0" fontId="4" fillId="2" borderId="27" xfId="0" applyFont="1" applyFill="1" applyBorder="1"/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0" xfId="0" applyAlignment="1">
      <alignment horizontal="right"/>
    </xf>
    <xf numFmtId="0" fontId="0" fillId="3" borderId="0" xfId="0" applyFill="1"/>
    <xf numFmtId="0" fontId="4" fillId="0" borderId="30" xfId="0" applyFont="1" applyBorder="1"/>
    <xf numFmtId="0" fontId="4" fillId="0" borderId="3" xfId="0" applyFont="1" applyBorder="1"/>
    <xf numFmtId="0" fontId="4" fillId="2" borderId="31" xfId="0" applyFont="1" applyFill="1" applyBorder="1"/>
    <xf numFmtId="0" fontId="4" fillId="2" borderId="32" xfId="0" applyFont="1" applyFill="1" applyBorder="1"/>
    <xf numFmtId="0" fontId="4" fillId="2" borderId="33" xfId="0" applyFont="1" applyFill="1" applyBorder="1"/>
    <xf numFmtId="0" fontId="4" fillId="2" borderId="5" xfId="0" applyFont="1" applyFill="1" applyBorder="1"/>
    <xf numFmtId="1" fontId="0" fillId="0" borderId="26" xfId="0" applyNumberFormat="1" applyBorder="1"/>
    <xf numFmtId="1" fontId="0" fillId="0" borderId="27" xfId="0" applyNumberFormat="1" applyBorder="1"/>
    <xf numFmtId="1" fontId="0" fillId="0" borderId="5" xfId="0" applyNumberFormat="1" applyBorder="1"/>
    <xf numFmtId="1" fontId="0" fillId="0" borderId="34" xfId="0" applyNumberFormat="1" applyBorder="1"/>
    <xf numFmtId="1" fontId="0" fillId="0" borderId="35" xfId="0" applyNumberFormat="1" applyBorder="1"/>
    <xf numFmtId="1" fontId="0" fillId="0" borderId="6" xfId="0" applyNumberFormat="1" applyBorder="1"/>
    <xf numFmtId="1" fontId="0" fillId="0" borderId="14" xfId="0" applyNumberFormat="1" applyBorder="1"/>
    <xf numFmtId="1" fontId="0" fillId="0" borderId="16" xfId="0" applyNumberFormat="1" applyBorder="1"/>
    <xf numFmtId="1" fontId="0" fillId="0" borderId="21" xfId="0" applyNumberFormat="1" applyBorder="1"/>
    <xf numFmtId="1" fontId="0" fillId="0" borderId="0" xfId="0" applyNumberFormat="1"/>
    <xf numFmtId="0" fontId="0" fillId="0" borderId="11" xfId="0" applyBorder="1" applyAlignment="1">
      <alignment horizontal="right"/>
    </xf>
    <xf numFmtId="0" fontId="0" fillId="0" borderId="8" xfId="0" applyBorder="1"/>
    <xf numFmtId="0" fontId="0" fillId="0" borderId="36" xfId="0" applyBorder="1" applyAlignment="1">
      <alignment horizontal="center"/>
    </xf>
    <xf numFmtId="0" fontId="0" fillId="0" borderId="37" xfId="0" applyBorder="1" applyAlignment="1">
      <alignment horizontal="center"/>
    </xf>
    <xf numFmtId="0" fontId="0" fillId="2" borderId="12" xfId="0" applyFill="1" applyBorder="1" applyAlignment="1">
      <alignment horizontal="center"/>
    </xf>
    <xf numFmtId="1" fontId="0" fillId="0" borderId="9" xfId="0" applyNumberFormat="1" applyBorder="1"/>
    <xf numFmtId="1" fontId="0" fillId="0" borderId="15" xfId="0" applyNumberFormat="1" applyBorder="1"/>
    <xf numFmtId="1" fontId="0" fillId="0" borderId="17" xfId="0" applyNumberFormat="1" applyBorder="1"/>
    <xf numFmtId="1" fontId="0" fillId="0" borderId="25" xfId="0" applyNumberFormat="1" applyBorder="1"/>
    <xf numFmtId="1" fontId="5" fillId="3" borderId="38" xfId="0" applyNumberFormat="1" applyFont="1" applyFill="1" applyBorder="1"/>
    <xf numFmtId="1" fontId="5" fillId="0" borderId="36" xfId="0" applyNumberFormat="1" applyFont="1" applyBorder="1"/>
    <xf numFmtId="0" fontId="0" fillId="0" borderId="39" xfId="0" applyBorder="1" applyAlignment="1">
      <alignment horizontal="center"/>
    </xf>
    <xf numFmtId="1" fontId="2" fillId="0" borderId="40" xfId="0" applyNumberFormat="1" applyFont="1" applyBorder="1"/>
    <xf numFmtId="1" fontId="2" fillId="0" borderId="41" xfId="0" applyNumberFormat="1" applyFont="1" applyBorder="1"/>
    <xf numFmtId="1" fontId="2" fillId="0" borderId="29" xfId="0" applyNumberFormat="1" applyFont="1" applyBorder="1"/>
    <xf numFmtId="164" fontId="0" fillId="0" borderId="0" xfId="0" applyNumberFormat="1"/>
    <xf numFmtId="9" fontId="0" fillId="0" borderId="32" xfId="0" applyNumberFormat="1" applyBorder="1"/>
    <xf numFmtId="9" fontId="0" fillId="0" borderId="33" xfId="0" applyNumberFormat="1" applyBorder="1"/>
    <xf numFmtId="9" fontId="0" fillId="0" borderId="42" xfId="0" applyNumberFormat="1" applyBorder="1"/>
    <xf numFmtId="1" fontId="0" fillId="0" borderId="3" xfId="0" applyNumberFormat="1" applyBorder="1"/>
    <xf numFmtId="1" fontId="0" fillId="0" borderId="4" xfId="0" applyNumberFormat="1" applyBorder="1"/>
    <xf numFmtId="0" fontId="0" fillId="0" borderId="33" xfId="0" applyBorder="1" applyAlignment="1">
      <alignment horizontal="center"/>
    </xf>
    <xf numFmtId="0" fontId="0" fillId="0" borderId="43" xfId="0" applyBorder="1" applyAlignment="1">
      <alignment horizontal="center"/>
    </xf>
    <xf numFmtId="0" fontId="0" fillId="0" borderId="4" xfId="0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1" fontId="0" fillId="2" borderId="0" xfId="0" applyNumberFormat="1" applyFill="1"/>
    <xf numFmtId="1" fontId="9" fillId="0" borderId="0" xfId="0" applyNumberFormat="1" applyFont="1" applyAlignment="1">
      <alignment horizontal="right"/>
    </xf>
    <xf numFmtId="1" fontId="9" fillId="0" borderId="0" xfId="0" applyNumberFormat="1" applyFont="1"/>
    <xf numFmtId="0" fontId="9" fillId="0" borderId="0" xfId="0" applyFont="1"/>
    <xf numFmtId="0" fontId="10" fillId="0" borderId="0" xfId="0" applyFont="1"/>
    <xf numFmtId="0" fontId="8" fillId="0" borderId="0" xfId="0" applyFont="1"/>
    <xf numFmtId="0" fontId="2" fillId="0" borderId="0" xfId="0" applyFont="1"/>
    <xf numFmtId="0" fontId="10" fillId="0" borderId="44" xfId="0" applyFont="1" applyBorder="1"/>
    <xf numFmtId="0" fontId="10" fillId="0" borderId="31" xfId="0" applyFont="1" applyBorder="1"/>
    <xf numFmtId="0" fontId="10" fillId="0" borderId="45" xfId="0" applyFont="1" applyBorder="1"/>
    <xf numFmtId="0" fontId="10" fillId="0" borderId="15" xfId="0" applyFont="1" applyBorder="1"/>
    <xf numFmtId="0" fontId="10" fillId="0" borderId="32" xfId="0" applyFont="1" applyBorder="1"/>
    <xf numFmtId="0" fontId="10" fillId="0" borderId="17" xfId="0" applyFont="1" applyBorder="1"/>
    <xf numFmtId="0" fontId="10" fillId="0" borderId="25" xfId="0" applyFont="1" applyBorder="1"/>
    <xf numFmtId="0" fontId="10" fillId="0" borderId="46" xfId="0" applyFont="1" applyBorder="1"/>
    <xf numFmtId="0" fontId="10" fillId="0" borderId="47" xfId="0" applyFont="1" applyBorder="1"/>
    <xf numFmtId="0" fontId="10" fillId="0" borderId="23" xfId="0" applyFont="1" applyBorder="1"/>
    <xf numFmtId="1" fontId="10" fillId="0" borderId="45" xfId="0" applyNumberFormat="1" applyFont="1" applyBorder="1"/>
    <xf numFmtId="0" fontId="8" fillId="0" borderId="33" xfId="0" applyFont="1" applyBorder="1"/>
    <xf numFmtId="0" fontId="8" fillId="0" borderId="5" xfId="0" applyFont="1" applyBorder="1"/>
    <xf numFmtId="0" fontId="8" fillId="0" borderId="48" xfId="0" applyFont="1" applyBorder="1"/>
    <xf numFmtId="0" fontId="8" fillId="0" borderId="25" xfId="0" applyFont="1" applyBorder="1"/>
    <xf numFmtId="0" fontId="11" fillId="0" borderId="49" xfId="0" applyFont="1" applyBorder="1"/>
    <xf numFmtId="0" fontId="11" fillId="0" borderId="50" xfId="0" applyFont="1" applyBorder="1"/>
    <xf numFmtId="0" fontId="8" fillId="0" borderId="49" xfId="0" applyFont="1" applyBorder="1"/>
    <xf numFmtId="0" fontId="8" fillId="0" borderId="50" xfId="0" applyFont="1" applyBorder="1"/>
    <xf numFmtId="0" fontId="1" fillId="0" borderId="0" xfId="0" applyFont="1" applyAlignment="1">
      <alignment horizontal="right"/>
    </xf>
    <xf numFmtId="0" fontId="8" fillId="0" borderId="14" xfId="0" applyFont="1" applyBorder="1"/>
    <xf numFmtId="0" fontId="8" fillId="0" borderId="15" xfId="0" applyFont="1" applyBorder="1"/>
    <xf numFmtId="0" fontId="10" fillId="0" borderId="18" xfId="0" applyFont="1" applyBorder="1"/>
    <xf numFmtId="0" fontId="2" fillId="2" borderId="0" xfId="0" applyFont="1" applyFill="1"/>
    <xf numFmtId="165" fontId="11" fillId="0" borderId="51" xfId="0" applyNumberFormat="1" applyFont="1" applyBorder="1"/>
    <xf numFmtId="0" fontId="3" fillId="0" borderId="0" xfId="0" applyFont="1" applyProtection="1">
      <protection hidden="1"/>
    </xf>
    <xf numFmtId="0" fontId="0" fillId="0" borderId="0" xfId="0" applyProtection="1">
      <protection hidden="1"/>
    </xf>
    <xf numFmtId="0" fontId="0" fillId="0" borderId="0" xfId="0" applyAlignment="1" applyProtection="1">
      <alignment horizontal="center"/>
      <protection hidden="1"/>
    </xf>
    <xf numFmtId="0" fontId="0" fillId="0" borderId="8" xfId="0" applyBorder="1" applyAlignment="1" applyProtection="1">
      <alignment horizontal="center"/>
      <protection hidden="1"/>
    </xf>
    <xf numFmtId="0" fontId="0" fillId="0" borderId="9" xfId="0" applyBorder="1" applyAlignment="1" applyProtection="1">
      <alignment horizontal="center"/>
      <protection hidden="1"/>
    </xf>
    <xf numFmtId="0" fontId="0" fillId="0" borderId="10" xfId="0" applyBorder="1" applyAlignment="1" applyProtection="1">
      <alignment horizontal="center"/>
      <protection hidden="1"/>
    </xf>
    <xf numFmtId="0" fontId="0" fillId="0" borderId="36" xfId="0" applyBorder="1" applyAlignment="1" applyProtection="1">
      <alignment horizontal="center"/>
      <protection hidden="1"/>
    </xf>
    <xf numFmtId="0" fontId="0" fillId="0" borderId="43" xfId="0" applyBorder="1" applyAlignment="1" applyProtection="1">
      <alignment horizontal="center"/>
      <protection hidden="1"/>
    </xf>
    <xf numFmtId="0" fontId="0" fillId="0" borderId="28" xfId="0" applyBorder="1" applyAlignment="1" applyProtection="1">
      <alignment horizontal="center"/>
      <protection hidden="1"/>
    </xf>
    <xf numFmtId="0" fontId="0" fillId="0" borderId="37" xfId="0" applyBorder="1" applyAlignment="1" applyProtection="1">
      <alignment horizontal="center"/>
      <protection hidden="1"/>
    </xf>
    <xf numFmtId="0" fontId="0" fillId="0" borderId="4" xfId="0" applyBorder="1" applyAlignment="1" applyProtection="1">
      <alignment horizontal="center"/>
      <protection hidden="1"/>
    </xf>
    <xf numFmtId="0" fontId="0" fillId="0" borderId="11" xfId="0" applyBorder="1" applyAlignment="1" applyProtection="1">
      <alignment horizontal="center"/>
      <protection hidden="1"/>
    </xf>
    <xf numFmtId="0" fontId="0" fillId="0" borderId="12" xfId="0" applyBorder="1" applyAlignment="1" applyProtection="1">
      <alignment horizontal="center"/>
      <protection hidden="1"/>
    </xf>
    <xf numFmtId="0" fontId="0" fillId="0" borderId="13" xfId="0" applyBorder="1" applyAlignment="1" applyProtection="1">
      <alignment horizontal="center"/>
      <protection hidden="1"/>
    </xf>
    <xf numFmtId="0" fontId="0" fillId="0" borderId="29" xfId="0" applyBorder="1" applyAlignment="1" applyProtection="1">
      <alignment horizontal="center"/>
      <protection hidden="1"/>
    </xf>
    <xf numFmtId="0" fontId="0" fillId="0" borderId="7" xfId="0" applyBorder="1" applyAlignment="1" applyProtection="1">
      <alignment horizontal="center"/>
      <protection hidden="1"/>
    </xf>
    <xf numFmtId="0" fontId="0" fillId="0" borderId="1" xfId="0" applyBorder="1" applyAlignment="1" applyProtection="1">
      <alignment horizontal="center"/>
      <protection hidden="1"/>
    </xf>
    <xf numFmtId="0" fontId="0" fillId="0" borderId="2" xfId="0" applyBorder="1" applyAlignment="1" applyProtection="1">
      <alignment horizontal="center"/>
      <protection hidden="1"/>
    </xf>
    <xf numFmtId="0" fontId="0" fillId="0" borderId="11" xfId="0" applyBorder="1" applyAlignment="1" applyProtection="1">
      <alignment horizontal="right"/>
      <protection hidden="1"/>
    </xf>
    <xf numFmtId="0" fontId="0" fillId="0" borderId="39" xfId="0" applyBorder="1" applyAlignment="1" applyProtection="1">
      <alignment horizontal="center"/>
      <protection hidden="1"/>
    </xf>
    <xf numFmtId="0" fontId="0" fillId="0" borderId="33" xfId="0" applyBorder="1" applyAlignment="1" applyProtection="1">
      <alignment horizontal="center"/>
      <protection hidden="1"/>
    </xf>
    <xf numFmtId="0" fontId="0" fillId="0" borderId="5" xfId="0" applyBorder="1" applyAlignment="1" applyProtection="1">
      <alignment horizontal="center"/>
      <protection hidden="1"/>
    </xf>
    <xf numFmtId="0" fontId="0" fillId="0" borderId="6" xfId="0" applyBorder="1" applyAlignment="1" applyProtection="1">
      <alignment horizontal="center"/>
      <protection hidden="1"/>
    </xf>
    <xf numFmtId="0" fontId="0" fillId="0" borderId="14" xfId="0" applyBorder="1" applyProtection="1">
      <protection hidden="1"/>
    </xf>
    <xf numFmtId="0" fontId="0" fillId="0" borderId="19" xfId="0" applyBorder="1" applyAlignment="1" applyProtection="1">
      <alignment horizontal="right"/>
      <protection hidden="1"/>
    </xf>
    <xf numFmtId="0" fontId="0" fillId="0" borderId="15" xfId="0" applyBorder="1" applyProtection="1">
      <protection hidden="1"/>
    </xf>
    <xf numFmtId="1" fontId="0" fillId="0" borderId="14" xfId="0" applyNumberFormat="1" applyBorder="1" applyProtection="1">
      <protection hidden="1"/>
    </xf>
    <xf numFmtId="1" fontId="0" fillId="0" borderId="26" xfId="0" applyNumberFormat="1" applyBorder="1" applyProtection="1">
      <protection hidden="1"/>
    </xf>
    <xf numFmtId="1" fontId="0" fillId="0" borderId="34" xfId="0" applyNumberFormat="1" applyBorder="1" applyProtection="1">
      <protection hidden="1"/>
    </xf>
    <xf numFmtId="1" fontId="0" fillId="0" borderId="15" xfId="0" applyNumberFormat="1" applyBorder="1" applyProtection="1">
      <protection hidden="1"/>
    </xf>
    <xf numFmtId="1" fontId="2" fillId="0" borderId="40" xfId="0" applyNumberFormat="1" applyFont="1" applyBorder="1" applyProtection="1">
      <protection hidden="1"/>
    </xf>
    <xf numFmtId="9" fontId="0" fillId="0" borderId="42" xfId="0" applyNumberFormat="1" applyBorder="1" applyProtection="1">
      <protection hidden="1"/>
    </xf>
    <xf numFmtId="1" fontId="0" fillId="0" borderId="3" xfId="0" applyNumberFormat="1" applyBorder="1" applyProtection="1">
      <protection hidden="1"/>
    </xf>
    <xf numFmtId="1" fontId="0" fillId="0" borderId="4" xfId="0" applyNumberFormat="1" applyBorder="1" applyProtection="1">
      <protection hidden="1"/>
    </xf>
    <xf numFmtId="1" fontId="0" fillId="0" borderId="0" xfId="0" applyNumberFormat="1" applyProtection="1">
      <protection hidden="1"/>
    </xf>
    <xf numFmtId="0" fontId="0" fillId="0" borderId="16" xfId="0" applyBorder="1" applyProtection="1">
      <protection hidden="1"/>
    </xf>
    <xf numFmtId="0" fontId="0" fillId="0" borderId="20" xfId="0" applyBorder="1" applyAlignment="1" applyProtection="1">
      <alignment horizontal="right"/>
      <protection hidden="1"/>
    </xf>
    <xf numFmtId="0" fontId="0" fillId="0" borderId="17" xfId="0" applyBorder="1" applyProtection="1">
      <protection hidden="1"/>
    </xf>
    <xf numFmtId="1" fontId="0" fillId="0" borderId="16" xfId="0" applyNumberFormat="1" applyBorder="1" applyProtection="1">
      <protection hidden="1"/>
    </xf>
    <xf numFmtId="1" fontId="0" fillId="0" borderId="27" xfId="0" applyNumberFormat="1" applyBorder="1" applyProtection="1">
      <protection hidden="1"/>
    </xf>
    <xf numFmtId="1" fontId="0" fillId="0" borderId="35" xfId="0" applyNumberFormat="1" applyBorder="1" applyProtection="1">
      <protection hidden="1"/>
    </xf>
    <xf numFmtId="1" fontId="0" fillId="0" borderId="17" xfId="0" applyNumberFormat="1" applyBorder="1" applyProtection="1">
      <protection hidden="1"/>
    </xf>
    <xf numFmtId="1" fontId="2" fillId="0" borderId="41" xfId="0" applyNumberFormat="1" applyFont="1" applyBorder="1" applyProtection="1">
      <protection hidden="1"/>
    </xf>
    <xf numFmtId="9" fontId="0" fillId="0" borderId="32" xfId="0" applyNumberFormat="1" applyBorder="1" applyProtection="1">
      <protection hidden="1"/>
    </xf>
    <xf numFmtId="0" fontId="0" fillId="0" borderId="21" xfId="0" applyBorder="1" applyProtection="1">
      <protection hidden="1"/>
    </xf>
    <xf numFmtId="0" fontId="0" fillId="0" borderId="22" xfId="0" applyBorder="1" applyAlignment="1" applyProtection="1">
      <alignment horizontal="right"/>
      <protection hidden="1"/>
    </xf>
    <xf numFmtId="0" fontId="0" fillId="0" borderId="23" xfId="0" applyBorder="1" applyProtection="1">
      <protection hidden="1"/>
    </xf>
    <xf numFmtId="1" fontId="0" fillId="0" borderId="21" xfId="0" applyNumberFormat="1" applyBorder="1" applyProtection="1">
      <protection hidden="1"/>
    </xf>
    <xf numFmtId="1" fontId="0" fillId="0" borderId="5" xfId="0" applyNumberFormat="1" applyBorder="1" applyProtection="1">
      <protection hidden="1"/>
    </xf>
    <xf numFmtId="1" fontId="0" fillId="0" borderId="6" xfId="0" applyNumberFormat="1" applyBorder="1" applyProtection="1">
      <protection hidden="1"/>
    </xf>
    <xf numFmtId="0" fontId="0" fillId="0" borderId="18" xfId="0" applyBorder="1" applyProtection="1">
      <protection hidden="1"/>
    </xf>
    <xf numFmtId="1" fontId="0" fillId="0" borderId="25" xfId="0" applyNumberFormat="1" applyBorder="1" applyProtection="1">
      <protection hidden="1"/>
    </xf>
    <xf numFmtId="1" fontId="2" fillId="0" borderId="29" xfId="0" applyNumberFormat="1" applyFont="1" applyBorder="1" applyProtection="1">
      <protection hidden="1"/>
    </xf>
    <xf numFmtId="9" fontId="0" fillId="0" borderId="33" xfId="0" applyNumberFormat="1" applyBorder="1" applyProtection="1">
      <protection hidden="1"/>
    </xf>
    <xf numFmtId="0" fontId="5" fillId="0" borderId="14" xfId="0" applyFont="1" applyBorder="1" applyProtection="1">
      <protection hidden="1"/>
    </xf>
    <xf numFmtId="0" fontId="0" fillId="0" borderId="19" xfId="0" applyBorder="1" applyProtection="1">
      <protection hidden="1"/>
    </xf>
    <xf numFmtId="0" fontId="4" fillId="0" borderId="15" xfId="0" applyFont="1" applyBorder="1" applyProtection="1">
      <protection hidden="1"/>
    </xf>
    <xf numFmtId="1" fontId="5" fillId="0" borderId="36" xfId="0" applyNumberFormat="1" applyFont="1" applyBorder="1" applyProtection="1">
      <protection hidden="1"/>
    </xf>
    <xf numFmtId="0" fontId="4" fillId="0" borderId="30" xfId="0" applyFont="1" applyBorder="1" applyProtection="1">
      <protection hidden="1"/>
    </xf>
    <xf numFmtId="0" fontId="0" fillId="0" borderId="3" xfId="0" applyBorder="1" applyProtection="1">
      <protection hidden="1"/>
    </xf>
    <xf numFmtId="0" fontId="4" fillId="0" borderId="3" xfId="0" applyFont="1" applyBorder="1" applyProtection="1">
      <protection hidden="1"/>
    </xf>
    <xf numFmtId="0" fontId="0" fillId="0" borderId="4" xfId="0" applyBorder="1" applyProtection="1">
      <protection hidden="1"/>
    </xf>
    <xf numFmtId="0" fontId="0" fillId="0" borderId="8" xfId="0" applyBorder="1" applyProtection="1">
      <protection hidden="1"/>
    </xf>
    <xf numFmtId="1" fontId="0" fillId="0" borderId="9" xfId="0" applyNumberFormat="1" applyBorder="1" applyProtection="1">
      <protection hidden="1"/>
    </xf>
    <xf numFmtId="0" fontId="2" fillId="0" borderId="18" xfId="0" applyFont="1" applyBorder="1" applyProtection="1">
      <protection hidden="1"/>
    </xf>
    <xf numFmtId="0" fontId="0" fillId="0" borderId="24" xfId="0" applyBorder="1" applyProtection="1">
      <protection hidden="1"/>
    </xf>
    <xf numFmtId="0" fontId="2" fillId="0" borderId="25" xfId="0" applyFont="1" applyBorder="1" applyAlignment="1" applyProtection="1">
      <alignment horizontal="right"/>
      <protection hidden="1"/>
    </xf>
    <xf numFmtId="1" fontId="5" fillId="3" borderId="38" xfId="0" applyNumberFormat="1" applyFont="1" applyFill="1" applyBorder="1" applyProtection="1">
      <protection hidden="1"/>
    </xf>
    <xf numFmtId="164" fontId="0" fillId="0" borderId="0" xfId="0" applyNumberFormat="1" applyProtection="1">
      <protection hidden="1"/>
    </xf>
    <xf numFmtId="0" fontId="0" fillId="0" borderId="0" xfId="0" applyAlignment="1" applyProtection="1">
      <alignment horizontal="right"/>
      <protection hidden="1"/>
    </xf>
    <xf numFmtId="0" fontId="2" fillId="0" borderId="0" xfId="0" applyFont="1" applyProtection="1">
      <protection hidden="1"/>
    </xf>
    <xf numFmtId="0" fontId="4" fillId="0" borderId="0" xfId="0" applyFont="1" applyProtection="1">
      <protection hidden="1"/>
    </xf>
    <xf numFmtId="0" fontId="0" fillId="3" borderId="0" xfId="0" applyFill="1" applyProtection="1">
      <protection hidden="1"/>
    </xf>
    <xf numFmtId="1" fontId="0" fillId="0" borderId="0" xfId="0" applyNumberFormat="1" applyAlignment="1" applyProtection="1">
      <alignment horizontal="right"/>
      <protection hidden="1"/>
    </xf>
    <xf numFmtId="16" fontId="0" fillId="0" borderId="0" xfId="0" applyNumberFormat="1" applyProtection="1">
      <protection hidden="1"/>
    </xf>
    <xf numFmtId="0" fontId="0" fillId="0" borderId="49" xfId="0" applyBorder="1" applyProtection="1">
      <protection hidden="1"/>
    </xf>
    <xf numFmtId="0" fontId="0" fillId="0" borderId="51" xfId="0" applyBorder="1" applyProtection="1">
      <protection hidden="1"/>
    </xf>
    <xf numFmtId="0" fontId="0" fillId="5" borderId="51" xfId="0" applyFill="1" applyBorder="1" applyProtection="1">
      <protection hidden="1"/>
    </xf>
    <xf numFmtId="0" fontId="0" fillId="5" borderId="50" xfId="0" applyFill="1" applyBorder="1" applyProtection="1">
      <protection hidden="1"/>
    </xf>
    <xf numFmtId="0" fontId="4" fillId="2" borderId="31" xfId="0" applyFont="1" applyFill="1" applyBorder="1" applyProtection="1">
      <protection locked="0" hidden="1"/>
    </xf>
    <xf numFmtId="0" fontId="4" fillId="2" borderId="32" xfId="0" applyFont="1" applyFill="1" applyBorder="1" applyProtection="1">
      <protection locked="0" hidden="1"/>
    </xf>
    <xf numFmtId="0" fontId="4" fillId="2" borderId="33" xfId="0" applyFont="1" applyFill="1" applyBorder="1" applyProtection="1">
      <protection locked="0" hidden="1"/>
    </xf>
    <xf numFmtId="0" fontId="4" fillId="2" borderId="26" xfId="0" applyFont="1" applyFill="1" applyBorder="1" applyProtection="1">
      <protection locked="0" hidden="1"/>
    </xf>
    <xf numFmtId="0" fontId="4" fillId="2" borderId="27" xfId="0" applyFont="1" applyFill="1" applyBorder="1" applyProtection="1">
      <protection locked="0" hidden="1"/>
    </xf>
    <xf numFmtId="0" fontId="4" fillId="2" borderId="5" xfId="0" applyFont="1" applyFill="1" applyBorder="1" applyProtection="1">
      <protection locked="0" hidden="1"/>
    </xf>
    <xf numFmtId="0" fontId="2" fillId="2" borderId="0" xfId="0" applyFont="1" applyFill="1" applyProtection="1">
      <protection locked="0" hidden="1"/>
    </xf>
    <xf numFmtId="0" fontId="0" fillId="2" borderId="0" xfId="0" applyFill="1" applyProtection="1">
      <protection locked="0" hidden="1"/>
    </xf>
    <xf numFmtId="0" fontId="0" fillId="0" borderId="0" xfId="0" applyProtection="1">
      <protection locked="0" hidden="1"/>
    </xf>
    <xf numFmtId="0" fontId="14" fillId="0" borderId="0" xfId="0" applyFont="1" applyAlignment="1" applyProtection="1">
      <alignment horizontal="center"/>
      <protection hidden="1"/>
    </xf>
    <xf numFmtId="0" fontId="14" fillId="0" borderId="0" xfId="0" applyFont="1" applyAlignment="1" applyProtection="1">
      <alignment horizontal="right"/>
      <protection hidden="1"/>
    </xf>
    <xf numFmtId="1" fontId="14" fillId="0" borderId="0" xfId="0" applyNumberFormat="1" applyFont="1" applyAlignment="1" applyProtection="1">
      <alignment horizontal="right"/>
      <protection hidden="1"/>
    </xf>
    <xf numFmtId="1" fontId="14" fillId="0" borderId="0" xfId="0" applyNumberFormat="1" applyFont="1" applyProtection="1">
      <protection hidden="1"/>
    </xf>
    <xf numFmtId="0" fontId="14" fillId="0" borderId="0" xfId="0" applyFont="1" applyProtection="1">
      <protection hidden="1"/>
    </xf>
    <xf numFmtId="0" fontId="15" fillId="0" borderId="0" xfId="0" applyFont="1" applyProtection="1">
      <protection hidden="1"/>
    </xf>
    <xf numFmtId="0" fontId="0" fillId="6" borderId="0" xfId="0" applyFill="1" applyProtection="1">
      <protection hidden="1"/>
    </xf>
    <xf numFmtId="0" fontId="2" fillId="2" borderId="0" xfId="0" applyFont="1" applyFill="1" applyProtection="1">
      <protection locked="0"/>
    </xf>
    <xf numFmtId="0" fontId="0" fillId="6" borderId="12" xfId="0" applyFill="1" applyBorder="1" applyAlignment="1" applyProtection="1">
      <alignment horizontal="center"/>
      <protection hidden="1"/>
    </xf>
    <xf numFmtId="0" fontId="1" fillId="0" borderId="0" xfId="0" applyFont="1" applyProtection="1">
      <protection hidden="1"/>
    </xf>
    <xf numFmtId="0" fontId="0" fillId="0" borderId="0" xfId="0" applyAlignment="1" applyProtection="1">
      <alignment horizontal="right"/>
      <protection hidden="1"/>
    </xf>
    <xf numFmtId="0" fontId="14" fillId="0" borderId="0" xfId="0" applyFont="1" applyAlignment="1" applyProtection="1">
      <alignment horizontal="center"/>
      <protection hidden="1"/>
    </xf>
    <xf numFmtId="0" fontId="0" fillId="4" borderId="0" xfId="0" applyFill="1" applyAlignment="1" applyProtection="1">
      <alignment horizontal="center"/>
      <protection hidden="1"/>
    </xf>
    <xf numFmtId="0" fontId="0" fillId="0" borderId="52" xfId="0" applyBorder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hidden="1"/>
    </xf>
    <xf numFmtId="0" fontId="0" fillId="0" borderId="53" xfId="0" applyBorder="1" applyAlignment="1" applyProtection="1">
      <alignment horizontal="center"/>
      <protection hidden="1"/>
    </xf>
    <xf numFmtId="1" fontId="0" fillId="3" borderId="48" xfId="0" applyNumberFormat="1" applyFill="1" applyBorder="1" applyAlignment="1" applyProtection="1">
      <alignment horizontal="center"/>
      <protection hidden="1"/>
    </xf>
    <xf numFmtId="1" fontId="0" fillId="3" borderId="54" xfId="0" applyNumberFormat="1" applyFill="1" applyBorder="1" applyAlignment="1" applyProtection="1">
      <alignment horizontal="center"/>
      <protection hidden="1"/>
    </xf>
    <xf numFmtId="0" fontId="0" fillId="0" borderId="55" xfId="0" applyBorder="1" applyAlignment="1" applyProtection="1">
      <alignment horizontal="center"/>
      <protection hidden="1"/>
    </xf>
    <xf numFmtId="0" fontId="0" fillId="0" borderId="30" xfId="0" applyBorder="1" applyAlignment="1" applyProtection="1">
      <alignment horizontal="center"/>
      <protection hidden="1"/>
    </xf>
    <xf numFmtId="0" fontId="0" fillId="0" borderId="56" xfId="0" applyBorder="1" applyAlignment="1" applyProtection="1">
      <alignment horizontal="center"/>
      <protection hidden="1"/>
    </xf>
    <xf numFmtId="1" fontId="0" fillId="3" borderId="5" xfId="0" applyNumberFormat="1" applyFill="1" applyBorder="1" applyAlignment="1" applyProtection="1">
      <alignment horizontal="center"/>
      <protection hidden="1"/>
    </xf>
    <xf numFmtId="0" fontId="0" fillId="0" borderId="8" xfId="0" applyBorder="1" applyAlignment="1" applyProtection="1">
      <alignment horizontal="center"/>
      <protection hidden="1"/>
    </xf>
    <xf numFmtId="0" fontId="0" fillId="0" borderId="58" xfId="0" applyBorder="1" applyAlignment="1" applyProtection="1">
      <alignment horizontal="center"/>
      <protection hidden="1"/>
    </xf>
    <xf numFmtId="0" fontId="0" fillId="0" borderId="59" xfId="0" applyBorder="1" applyAlignment="1" applyProtection="1">
      <alignment horizontal="center"/>
      <protection hidden="1"/>
    </xf>
    <xf numFmtId="0" fontId="0" fillId="0" borderId="49" xfId="0" applyBorder="1" applyAlignment="1" applyProtection="1">
      <alignment horizontal="center"/>
      <protection hidden="1"/>
    </xf>
    <xf numFmtId="0" fontId="0" fillId="0" borderId="51" xfId="0" applyBorder="1" applyAlignment="1" applyProtection="1">
      <alignment horizontal="center"/>
      <protection hidden="1"/>
    </xf>
    <xf numFmtId="2" fontId="0" fillId="0" borderId="0" xfId="0" applyNumberFormat="1" applyAlignment="1" applyProtection="1">
      <alignment horizontal="right"/>
      <protection hidden="1"/>
    </xf>
    <xf numFmtId="0" fontId="0" fillId="0" borderId="9" xfId="0" applyBorder="1" applyAlignment="1" applyProtection="1">
      <alignment horizontal="center"/>
      <protection hidden="1"/>
    </xf>
    <xf numFmtId="0" fontId="7" fillId="0" borderId="0" xfId="0" applyFont="1" applyAlignment="1" applyProtection="1">
      <alignment horizontal="center"/>
      <protection hidden="1"/>
    </xf>
    <xf numFmtId="0" fontId="0" fillId="3" borderId="0" xfId="0" applyFill="1" applyAlignment="1" applyProtection="1">
      <alignment horizontal="center"/>
      <protection hidden="1"/>
    </xf>
    <xf numFmtId="1" fontId="0" fillId="3" borderId="25" xfId="0" applyNumberFormat="1" applyFill="1" applyBorder="1" applyAlignment="1" applyProtection="1">
      <alignment horizontal="center"/>
      <protection hidden="1"/>
    </xf>
    <xf numFmtId="0" fontId="0" fillId="0" borderId="50" xfId="0" applyBorder="1" applyAlignment="1" applyProtection="1">
      <alignment horizontal="center"/>
      <protection hidden="1"/>
    </xf>
    <xf numFmtId="0" fontId="0" fillId="0" borderId="57" xfId="0" applyBorder="1" applyAlignment="1" applyProtection="1">
      <alignment horizontal="center"/>
      <protection hidden="1"/>
    </xf>
    <xf numFmtId="1" fontId="0" fillId="3" borderId="11" xfId="0" applyNumberFormat="1" applyFill="1" applyBorder="1" applyAlignment="1" applyProtection="1">
      <alignment horizontal="center"/>
      <protection hidden="1"/>
    </xf>
    <xf numFmtId="0" fontId="0" fillId="3" borderId="12" xfId="0" applyFill="1" applyBorder="1" applyAlignment="1" applyProtection="1">
      <alignment horizontal="center"/>
      <protection hidden="1"/>
    </xf>
    <xf numFmtId="1" fontId="8" fillId="4" borderId="28" xfId="0" applyNumberFormat="1" applyFont="1" applyFill="1" applyBorder="1" applyAlignment="1" applyProtection="1">
      <alignment horizontal="center"/>
      <protection hidden="1"/>
    </xf>
    <xf numFmtId="0" fontId="8" fillId="4" borderId="39" xfId="0" applyFont="1" applyFill="1" applyBorder="1" applyAlignment="1" applyProtection="1">
      <alignment horizontal="center"/>
      <protection hidden="1"/>
    </xf>
    <xf numFmtId="0" fontId="2" fillId="2" borderId="0" xfId="0" applyFont="1" applyFill="1" applyAlignment="1" applyProtection="1">
      <alignment horizontal="center"/>
      <protection hidden="1"/>
    </xf>
    <xf numFmtId="0" fontId="0" fillId="2" borderId="0" xfId="0" applyFill="1" applyAlignment="1" applyProtection="1">
      <alignment horizontal="center"/>
      <protection hidden="1"/>
    </xf>
    <xf numFmtId="2" fontId="0" fillId="0" borderId="0" xfId="0" applyNumberFormat="1" applyAlignment="1" applyProtection="1">
      <alignment horizontal="center"/>
      <protection hidden="1"/>
    </xf>
    <xf numFmtId="9" fontId="0" fillId="0" borderId="0" xfId="0" applyNumberFormat="1" applyAlignment="1" applyProtection="1">
      <alignment horizontal="center"/>
      <protection hidden="1"/>
    </xf>
    <xf numFmtId="0" fontId="3" fillId="0" borderId="0" xfId="0" applyFont="1" applyAlignment="1">
      <alignment horizontal="center"/>
    </xf>
    <xf numFmtId="0" fontId="10" fillId="0" borderId="49" xfId="0" applyFont="1" applyBorder="1" applyAlignment="1">
      <alignment horizontal="left"/>
    </xf>
    <xf numFmtId="0" fontId="10" fillId="0" borderId="51" xfId="0" applyFont="1" applyBorder="1" applyAlignment="1">
      <alignment horizontal="left"/>
    </xf>
    <xf numFmtId="0" fontId="10" fillId="0" borderId="50" xfId="0" applyFont="1" applyBorder="1" applyAlignment="1">
      <alignment horizontal="left"/>
    </xf>
    <xf numFmtId="0" fontId="10" fillId="0" borderId="14" xfId="0" applyFont="1" applyBorder="1" applyAlignment="1">
      <alignment horizontal="left"/>
    </xf>
    <xf numFmtId="0" fontId="10" fillId="0" borderId="60" xfId="0" applyFont="1" applyBorder="1" applyAlignment="1">
      <alignment horizontal="left"/>
    </xf>
    <xf numFmtId="0" fontId="0" fillId="2" borderId="0" xfId="0" applyFill="1" applyAlignment="1">
      <alignment horizontal="right"/>
    </xf>
    <xf numFmtId="1" fontId="8" fillId="4" borderId="28" xfId="0" applyNumberFormat="1" applyFont="1" applyFill="1" applyBorder="1" applyAlignment="1">
      <alignment horizontal="center"/>
    </xf>
    <xf numFmtId="0" fontId="8" fillId="4" borderId="39" xfId="0" applyFont="1" applyFill="1" applyBorder="1" applyAlignment="1">
      <alignment horizontal="center"/>
    </xf>
    <xf numFmtId="1" fontId="0" fillId="3" borderId="54" xfId="0" applyNumberFormat="1" applyFill="1" applyBorder="1" applyAlignment="1">
      <alignment horizontal="center"/>
    </xf>
    <xf numFmtId="1" fontId="0" fillId="3" borderId="5" xfId="0" applyNumberFormat="1" applyFill="1" applyBorder="1" applyAlignment="1">
      <alignment horizontal="center"/>
    </xf>
    <xf numFmtId="1" fontId="0" fillId="3" borderId="48" xfId="0" applyNumberFormat="1" applyFill="1" applyBorder="1" applyAlignment="1">
      <alignment horizontal="center"/>
    </xf>
    <xf numFmtId="1" fontId="0" fillId="3" borderId="25" xfId="0" applyNumberFormat="1" applyFill="1" applyBorder="1" applyAlignment="1">
      <alignment horizontal="center"/>
    </xf>
    <xf numFmtId="1" fontId="0" fillId="3" borderId="11" xfId="0" applyNumberFormat="1" applyFill="1" applyBorder="1" applyAlignment="1">
      <alignment horizontal="center"/>
    </xf>
    <xf numFmtId="0" fontId="0" fillId="3" borderId="12" xfId="0" applyFill="1" applyBorder="1" applyAlignment="1">
      <alignment horizontal="center"/>
    </xf>
    <xf numFmtId="0" fontId="0" fillId="0" borderId="55" xfId="0" applyBorder="1" applyAlignment="1">
      <alignment horizontal="center"/>
    </xf>
    <xf numFmtId="0" fontId="0" fillId="0" borderId="56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59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49" xfId="0" applyBorder="1" applyAlignment="1">
      <alignment horizontal="center"/>
    </xf>
    <xf numFmtId="0" fontId="0" fillId="0" borderId="51" xfId="0" applyBorder="1" applyAlignment="1">
      <alignment horizontal="center"/>
    </xf>
    <xf numFmtId="0" fontId="0" fillId="0" borderId="50" xfId="0" applyBorder="1" applyAlignment="1">
      <alignment horizontal="center"/>
    </xf>
    <xf numFmtId="0" fontId="0" fillId="0" borderId="58" xfId="0" applyBorder="1" applyAlignment="1">
      <alignment horizontal="center"/>
    </xf>
    <xf numFmtId="0" fontId="0" fillId="0" borderId="52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53" xfId="0" applyBorder="1" applyAlignment="1">
      <alignment horizontal="center"/>
    </xf>
    <xf numFmtId="0" fontId="0" fillId="0" borderId="57" xfId="0" applyBorder="1" applyAlignment="1">
      <alignment horizontal="center"/>
    </xf>
    <xf numFmtId="0" fontId="7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0" fillId="3" borderId="0" xfId="0" applyFill="1" applyAlignment="1">
      <alignment horizontal="center"/>
    </xf>
    <xf numFmtId="0" fontId="0" fillId="4" borderId="0" xfId="0" applyFill="1" applyAlignment="1">
      <alignment horizontal="center"/>
    </xf>
    <xf numFmtId="0" fontId="9" fillId="0" borderId="0" xfId="0" applyFont="1" applyAlignment="1">
      <alignment horizont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cs-CZ"/>
              <a:t>křivka odběru</a:t>
            </a:r>
          </a:p>
        </c:rich>
      </c:tx>
      <c:layout>
        <c:manualLayout>
          <c:xMode val="edge"/>
          <c:yMode val="edge"/>
          <c:x val="0.41379390794541482"/>
          <c:y val="3.384629552884840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452130575256259"/>
          <c:y val="0.18769258968237654"/>
          <c:w val="0.83333489234407365"/>
          <c:h val="0.53846234744943966"/>
        </c:manualLayout>
      </c:layout>
      <c:areaChart>
        <c:grouping val="stacked"/>
        <c:varyColors val="0"/>
        <c:ser>
          <c:idx val="0"/>
          <c:order val="0"/>
          <c:tx>
            <c:v>ztráta cirkulací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TV!$Z$9:$Z$33</c:f>
              <c:numCache>
                <c:formatCode>0</c:formatCode>
                <c:ptCount val="25"/>
                <c:pt idx="0" formatCode="General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</c:numCache>
            </c:numRef>
          </c:cat>
          <c:val>
            <c:numRef>
              <c:f>TV!$AA$9:$AA$33</c:f>
              <c:numCache>
                <c:formatCode>0</c:formatCode>
                <c:ptCount val="25"/>
                <c:pt idx="0" formatCode="General">
                  <c:v>0</c:v>
                </c:pt>
                <c:pt idx="1">
                  <c:v>4.4694270833333354</c:v>
                </c:pt>
                <c:pt idx="2">
                  <c:v>8.9388541666666708</c:v>
                </c:pt>
                <c:pt idx="3">
                  <c:v>13.408281250000005</c:v>
                </c:pt>
                <c:pt idx="4">
                  <c:v>17.877708333333342</c:v>
                </c:pt>
                <c:pt idx="5">
                  <c:v>22.347135416666678</c:v>
                </c:pt>
                <c:pt idx="6">
                  <c:v>26.816562500000014</c:v>
                </c:pt>
                <c:pt idx="7">
                  <c:v>31.28598958333335</c:v>
                </c:pt>
                <c:pt idx="8">
                  <c:v>35.755416666666683</c:v>
                </c:pt>
                <c:pt idx="9">
                  <c:v>40.224843750000019</c:v>
                </c:pt>
                <c:pt idx="10">
                  <c:v>44.694270833333356</c:v>
                </c:pt>
                <c:pt idx="11">
                  <c:v>49.163697916666692</c:v>
                </c:pt>
                <c:pt idx="12">
                  <c:v>53.633125000000028</c:v>
                </c:pt>
                <c:pt idx="13">
                  <c:v>58.102552083333364</c:v>
                </c:pt>
                <c:pt idx="14">
                  <c:v>62.571979166666701</c:v>
                </c:pt>
                <c:pt idx="15">
                  <c:v>67.041406250000037</c:v>
                </c:pt>
                <c:pt idx="16">
                  <c:v>71.510833333333366</c:v>
                </c:pt>
                <c:pt idx="17">
                  <c:v>75.980260416666695</c:v>
                </c:pt>
                <c:pt idx="18">
                  <c:v>80.449687500000024</c:v>
                </c:pt>
                <c:pt idx="19">
                  <c:v>84.919114583333354</c:v>
                </c:pt>
                <c:pt idx="20">
                  <c:v>89.388541666666683</c:v>
                </c:pt>
                <c:pt idx="21">
                  <c:v>93.857968750000012</c:v>
                </c:pt>
                <c:pt idx="22">
                  <c:v>98.327395833333341</c:v>
                </c:pt>
                <c:pt idx="23">
                  <c:v>102.79682291666667</c:v>
                </c:pt>
                <c:pt idx="24">
                  <c:v>107.26625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1B-40AE-82D3-19840F86CE33}"/>
            </c:ext>
          </c:extLst>
        </c:ser>
        <c:ser>
          <c:idx val="1"/>
          <c:order val="1"/>
          <c:tx>
            <c:v>potřeba tepla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TV!$Z$9:$Z$33</c:f>
              <c:numCache>
                <c:formatCode>0</c:formatCode>
                <c:ptCount val="25"/>
                <c:pt idx="0" formatCode="General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</c:numCache>
            </c:numRef>
          </c:cat>
          <c:val>
            <c:numRef>
              <c:f>TV!$AB$9:$AB$33</c:f>
              <c:numCache>
                <c:formatCode>0</c:formatCode>
                <c:ptCount val="25"/>
                <c:pt idx="0" formatCode="General">
                  <c:v>0</c:v>
                </c:pt>
                <c:pt idx="1">
                  <c:v>2.1453250000000001</c:v>
                </c:pt>
                <c:pt idx="2">
                  <c:v>2.1453250000000001</c:v>
                </c:pt>
                <c:pt idx="3">
                  <c:v>2.1453250000000001</c:v>
                </c:pt>
                <c:pt idx="4">
                  <c:v>2.1453250000000001</c:v>
                </c:pt>
                <c:pt idx="5">
                  <c:v>2.1453250000000001</c:v>
                </c:pt>
                <c:pt idx="6">
                  <c:v>4.2906500000000003</c:v>
                </c:pt>
                <c:pt idx="7">
                  <c:v>17.162600000000001</c:v>
                </c:pt>
                <c:pt idx="8">
                  <c:v>36.470525000000002</c:v>
                </c:pt>
                <c:pt idx="9">
                  <c:v>51.487800000000007</c:v>
                </c:pt>
                <c:pt idx="10">
                  <c:v>66.505075000000005</c:v>
                </c:pt>
                <c:pt idx="11">
                  <c:v>83.667675000000003</c:v>
                </c:pt>
                <c:pt idx="12">
                  <c:v>96.539625000000001</c:v>
                </c:pt>
                <c:pt idx="13">
                  <c:v>105.120925</c:v>
                </c:pt>
                <c:pt idx="14">
                  <c:v>109.411575</c:v>
                </c:pt>
                <c:pt idx="15">
                  <c:v>113.702225</c:v>
                </c:pt>
                <c:pt idx="16">
                  <c:v>120.1382</c:v>
                </c:pt>
                <c:pt idx="17">
                  <c:v>133.01015000000001</c:v>
                </c:pt>
                <c:pt idx="18">
                  <c:v>165.19002500000002</c:v>
                </c:pt>
                <c:pt idx="19">
                  <c:v>184.49795000000003</c:v>
                </c:pt>
                <c:pt idx="20">
                  <c:v>199.51522500000004</c:v>
                </c:pt>
                <c:pt idx="21">
                  <c:v>205.95120000000006</c:v>
                </c:pt>
                <c:pt idx="22">
                  <c:v>210.24185000000006</c:v>
                </c:pt>
                <c:pt idx="23">
                  <c:v>212.38717500000007</c:v>
                </c:pt>
                <c:pt idx="24">
                  <c:v>214.53250000000008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31B-40AE-82D3-19840F86CE33}"/>
            </c:ext>
          </c:extLst>
        </c:ser>
        <c:ser>
          <c:idx val="2"/>
          <c:order val="2"/>
          <c:tx>
            <c:v>akumulace</c:v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TV!$Z$9:$Z$33</c:f>
              <c:numCache>
                <c:formatCode>0</c:formatCode>
                <c:ptCount val="25"/>
                <c:pt idx="0" formatCode="General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</c:numCache>
            </c:numRef>
          </c:cat>
          <c:val>
            <c:numRef>
              <c:f>TV!$AC$9:$AC$33</c:f>
              <c:numCache>
                <c:formatCode>0</c:formatCode>
                <c:ptCount val="25"/>
                <c:pt idx="0">
                  <c:v>52.325000000000003</c:v>
                </c:pt>
                <c:pt idx="1">
                  <c:v>52.325000000000003</c:v>
                </c:pt>
                <c:pt idx="2">
                  <c:v>52.325000000000003</c:v>
                </c:pt>
                <c:pt idx="3">
                  <c:v>52.325000000000003</c:v>
                </c:pt>
                <c:pt idx="4">
                  <c:v>52.325000000000003</c:v>
                </c:pt>
                <c:pt idx="5">
                  <c:v>52.325000000000003</c:v>
                </c:pt>
                <c:pt idx="6">
                  <c:v>52.325000000000003</c:v>
                </c:pt>
                <c:pt idx="7">
                  <c:v>52.325000000000003</c:v>
                </c:pt>
                <c:pt idx="8">
                  <c:v>48.547647916666662</c:v>
                </c:pt>
                <c:pt idx="9">
                  <c:v>49.060945833333321</c:v>
                </c:pt>
                <c:pt idx="10">
                  <c:v>49.57424374999998</c:v>
                </c:pt>
                <c:pt idx="11">
                  <c:v>47.942216666666639</c:v>
                </c:pt>
                <c:pt idx="12">
                  <c:v>50.600839583333297</c:v>
                </c:pt>
                <c:pt idx="13">
                  <c:v>52.32500000000001</c:v>
                </c:pt>
                <c:pt idx="14">
                  <c:v>52.325000000000003</c:v>
                </c:pt>
                <c:pt idx="15">
                  <c:v>52.325000000000003</c:v>
                </c:pt>
                <c:pt idx="16">
                  <c:v>52.325000000000003</c:v>
                </c:pt>
                <c:pt idx="17">
                  <c:v>52.325000000000003</c:v>
                </c:pt>
                <c:pt idx="18">
                  <c:v>35.675697916666664</c:v>
                </c:pt>
                <c:pt idx="19">
                  <c:v>31.898345833333327</c:v>
                </c:pt>
                <c:pt idx="20">
                  <c:v>32.411643749999982</c:v>
                </c:pt>
                <c:pt idx="21">
                  <c:v>41.506241666666646</c:v>
                </c:pt>
                <c:pt idx="22">
                  <c:v>52.325000000000003</c:v>
                </c:pt>
                <c:pt idx="23">
                  <c:v>52.325000000000003</c:v>
                </c:pt>
                <c:pt idx="24">
                  <c:v>52.325000000000003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31B-40AE-82D3-19840F86CE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0669312"/>
        <c:axId val="80671488"/>
      </c:areaChart>
      <c:catAx>
        <c:axId val="806693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cs-CZ"/>
                  <a:t>čas [hod]</a:t>
                </a:r>
              </a:p>
            </c:rich>
          </c:tx>
          <c:layout>
            <c:manualLayout>
              <c:xMode val="edge"/>
              <c:yMode val="edge"/>
              <c:x val="0.48850675274786115"/>
              <c:y val="0.8092320916025846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806714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06714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cs-CZ"/>
                  <a:t>energie [kWh]</a:t>
                </a:r>
              </a:p>
            </c:rich>
          </c:tx>
          <c:layout>
            <c:manualLayout>
              <c:xMode val="edge"/>
              <c:yMode val="edge"/>
              <c:x val="3.0651340996168612E-2"/>
              <c:y val="0.3292314776442423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8066931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1609255739584352"/>
          <c:y val="0.91077067120995869"/>
          <c:w val="0.44827666656610454"/>
          <c:h val="6.769228407852537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034" footer="0.4921259845000003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cs-CZ"/>
              <a:t>hodinová potřeba</a:t>
            </a:r>
          </a:p>
        </c:rich>
      </c:tx>
      <c:layout>
        <c:manualLayout>
          <c:xMode val="edge"/>
          <c:yMode val="edge"/>
          <c:x val="0.39005776285612481"/>
          <c:y val="3.529411764705885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281081277897644"/>
          <c:y val="0.17941202236331341"/>
          <c:w val="0.86042145339897425"/>
          <c:h val="0.55882433195130388"/>
        </c:manualLayout>
      </c:layout>
      <c:barChart>
        <c:barDir val="col"/>
        <c:grouping val="stacked"/>
        <c:varyColors val="0"/>
        <c:ser>
          <c:idx val="0"/>
          <c:order val="0"/>
          <c:tx>
            <c:v>uživatelé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TV!$Z$10:$Z$33</c:f>
              <c:numCache>
                <c:formatCode>0</c:formatCode>
                <c:ptCount val="2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</c:numCache>
            </c:numRef>
          </c:cat>
          <c:val>
            <c:numRef>
              <c:f>TV!$G$10:$G$33</c:f>
              <c:numCache>
                <c:formatCode>0</c:formatCode>
                <c:ptCount val="24"/>
                <c:pt idx="0">
                  <c:v>2.1453250000000001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2.1453250000000001</c:v>
                </c:pt>
                <c:pt idx="6">
                  <c:v>12.871950000000002</c:v>
                </c:pt>
                <c:pt idx="7">
                  <c:v>19.307925000000001</c:v>
                </c:pt>
                <c:pt idx="8">
                  <c:v>15.017275000000003</c:v>
                </c:pt>
                <c:pt idx="9">
                  <c:v>15.017275000000003</c:v>
                </c:pt>
                <c:pt idx="10">
                  <c:v>17.162600000000001</c:v>
                </c:pt>
                <c:pt idx="11">
                  <c:v>12.871950000000002</c:v>
                </c:pt>
                <c:pt idx="12">
                  <c:v>8.5813000000000006</c:v>
                </c:pt>
                <c:pt idx="13">
                  <c:v>4.2906500000000003</c:v>
                </c:pt>
                <c:pt idx="14">
                  <c:v>4.2906500000000003</c:v>
                </c:pt>
                <c:pt idx="15">
                  <c:v>6.4359750000000009</c:v>
                </c:pt>
                <c:pt idx="16">
                  <c:v>12.871950000000002</c:v>
                </c:pt>
                <c:pt idx="17">
                  <c:v>32.179875000000003</c:v>
                </c:pt>
                <c:pt idx="18">
                  <c:v>19.307925000000001</c:v>
                </c:pt>
                <c:pt idx="19">
                  <c:v>15.017275000000003</c:v>
                </c:pt>
                <c:pt idx="20">
                  <c:v>6.4359750000000009</c:v>
                </c:pt>
                <c:pt idx="21">
                  <c:v>4.2906500000000003</c:v>
                </c:pt>
                <c:pt idx="22">
                  <c:v>2.1453250000000001</c:v>
                </c:pt>
                <c:pt idx="23">
                  <c:v>2.1453250000000001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DE-4D3B-B17F-76256A05B889}"/>
            </c:ext>
          </c:extLst>
        </c:ser>
        <c:ser>
          <c:idx val="1"/>
          <c:order val="1"/>
          <c:tx>
            <c:v>personál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TV!$I$10:$I$33</c:f>
              <c:numCache>
                <c:formatCode>0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1DE-4D3B-B17F-76256A05B889}"/>
            </c:ext>
          </c:extLst>
        </c:ser>
        <c:ser>
          <c:idx val="2"/>
          <c:order val="2"/>
          <c:tx>
            <c:v>gastro</c:v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TV!$K$10:$K$33</c:f>
              <c:numCache>
                <c:formatCode>0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1DE-4D3B-B17F-76256A05B889}"/>
            </c:ext>
          </c:extLst>
        </c:ser>
        <c:ser>
          <c:idx val="3"/>
          <c:order val="3"/>
          <c:tx>
            <c:v>úklid</c:v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TV!$M$10:$M$33</c:f>
              <c:numCache>
                <c:formatCode>0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1DE-4D3B-B17F-76256A05B889}"/>
            </c:ext>
          </c:extLst>
        </c:ser>
        <c:ser>
          <c:idx val="4"/>
          <c:order val="4"/>
          <c:tx>
            <c:strRef>
              <c:f>TV!$N$8</c:f>
              <c:strCache>
                <c:ptCount val="1"/>
                <c:pt idx="0">
                  <c:v>ostatní</c:v>
                </c:pt>
              </c:strCache>
            </c:strRef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TV!$O$10:$O$33</c:f>
              <c:numCache>
                <c:formatCode>0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1DE-4D3B-B17F-76256A05B8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0727040"/>
        <c:axId val="80729216"/>
      </c:barChart>
      <c:catAx>
        <c:axId val="807270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cs-CZ"/>
                  <a:t>čas [hod]</a:t>
                </a:r>
              </a:p>
            </c:rich>
          </c:tx>
          <c:layout>
            <c:manualLayout>
              <c:xMode val="edge"/>
              <c:yMode val="edge"/>
              <c:x val="0.49139619497849613"/>
              <c:y val="0.81764829396325533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807292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07292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cs-CZ"/>
                  <a:t>příkon [kW]</a:t>
                </a:r>
              </a:p>
            </c:rich>
          </c:tx>
          <c:layout>
            <c:manualLayout>
              <c:xMode val="edge"/>
              <c:yMode val="edge"/>
              <c:x val="3.0592734225621414E-2"/>
              <c:y val="0.3588241469816276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80727040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0401549710683906"/>
          <c:y val="0.91470711749266631"/>
          <c:w val="0.47609982786568533"/>
          <c:h val="6.470588235294125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5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034" footer="0.49212598450000034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cs-CZ"/>
              <a:t>křivka odběru</a:t>
            </a:r>
          </a:p>
        </c:rich>
      </c:tx>
      <c:layout>
        <c:manualLayout>
          <c:xMode val="edge"/>
          <c:yMode val="edge"/>
          <c:x val="0.43147279178935216"/>
          <c:y val="3.481012658227848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998326126146983"/>
          <c:y val="0.18670914926131918"/>
          <c:w val="0.70727697241991261"/>
          <c:h val="0.61392499926603183"/>
        </c:manualLayout>
      </c:layout>
      <c:areaChart>
        <c:grouping val="stacked"/>
        <c:varyColors val="0"/>
        <c:ser>
          <c:idx val="0"/>
          <c:order val="0"/>
          <c:tx>
            <c:v>ztráty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TV!$Z$9:$Z$33</c:f>
              <c:numCache>
                <c:formatCode>0</c:formatCode>
                <c:ptCount val="25"/>
                <c:pt idx="0" formatCode="General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</c:numCache>
            </c:numRef>
          </c:cat>
          <c:val>
            <c:numRef>
              <c:f>TV!$AA$9:$AA$33</c:f>
              <c:numCache>
                <c:formatCode>0</c:formatCode>
                <c:ptCount val="25"/>
                <c:pt idx="0" formatCode="General">
                  <c:v>0</c:v>
                </c:pt>
                <c:pt idx="1">
                  <c:v>4.4694270833333354</c:v>
                </c:pt>
                <c:pt idx="2">
                  <c:v>8.9388541666666708</c:v>
                </c:pt>
                <c:pt idx="3">
                  <c:v>13.408281250000005</c:v>
                </c:pt>
                <c:pt idx="4">
                  <c:v>17.877708333333342</c:v>
                </c:pt>
                <c:pt idx="5">
                  <c:v>22.347135416666678</c:v>
                </c:pt>
                <c:pt idx="6">
                  <c:v>26.816562500000014</c:v>
                </c:pt>
                <c:pt idx="7">
                  <c:v>31.28598958333335</c:v>
                </c:pt>
                <c:pt idx="8">
                  <c:v>35.755416666666683</c:v>
                </c:pt>
                <c:pt idx="9">
                  <c:v>40.224843750000019</c:v>
                </c:pt>
                <c:pt idx="10">
                  <c:v>44.694270833333356</c:v>
                </c:pt>
                <c:pt idx="11">
                  <c:v>49.163697916666692</c:v>
                </c:pt>
                <c:pt idx="12">
                  <c:v>53.633125000000028</c:v>
                </c:pt>
                <c:pt idx="13">
                  <c:v>58.102552083333364</c:v>
                </c:pt>
                <c:pt idx="14">
                  <c:v>62.571979166666701</c:v>
                </c:pt>
                <c:pt idx="15">
                  <c:v>67.041406250000037</c:v>
                </c:pt>
                <c:pt idx="16">
                  <c:v>71.510833333333366</c:v>
                </c:pt>
                <c:pt idx="17">
                  <c:v>75.980260416666695</c:v>
                </c:pt>
                <c:pt idx="18">
                  <c:v>80.449687500000024</c:v>
                </c:pt>
                <c:pt idx="19">
                  <c:v>84.919114583333354</c:v>
                </c:pt>
                <c:pt idx="20">
                  <c:v>89.388541666666683</c:v>
                </c:pt>
                <c:pt idx="21">
                  <c:v>93.857968750000012</c:v>
                </c:pt>
                <c:pt idx="22">
                  <c:v>98.327395833333341</c:v>
                </c:pt>
                <c:pt idx="23">
                  <c:v>102.79682291666667</c:v>
                </c:pt>
                <c:pt idx="24">
                  <c:v>107.26625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CC-4649-AD29-917FFC5172F4}"/>
            </c:ext>
          </c:extLst>
        </c:ser>
        <c:ser>
          <c:idx val="1"/>
          <c:order val="1"/>
          <c:tx>
            <c:v>potřeba tepla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TV!$Z$9:$Z$33</c:f>
              <c:numCache>
                <c:formatCode>0</c:formatCode>
                <c:ptCount val="25"/>
                <c:pt idx="0" formatCode="General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</c:numCache>
            </c:numRef>
          </c:cat>
          <c:val>
            <c:numRef>
              <c:f>TV!$AB$9:$AB$33</c:f>
              <c:numCache>
                <c:formatCode>0</c:formatCode>
                <c:ptCount val="25"/>
                <c:pt idx="0" formatCode="General">
                  <c:v>0</c:v>
                </c:pt>
                <c:pt idx="1">
                  <c:v>2.1453250000000001</c:v>
                </c:pt>
                <c:pt idx="2">
                  <c:v>2.1453250000000001</c:v>
                </c:pt>
                <c:pt idx="3">
                  <c:v>2.1453250000000001</c:v>
                </c:pt>
                <c:pt idx="4">
                  <c:v>2.1453250000000001</c:v>
                </c:pt>
                <c:pt idx="5">
                  <c:v>2.1453250000000001</c:v>
                </c:pt>
                <c:pt idx="6">
                  <c:v>4.2906500000000003</c:v>
                </c:pt>
                <c:pt idx="7">
                  <c:v>17.162600000000001</c:v>
                </c:pt>
                <c:pt idx="8">
                  <c:v>36.470525000000002</c:v>
                </c:pt>
                <c:pt idx="9">
                  <c:v>51.487800000000007</c:v>
                </c:pt>
                <c:pt idx="10">
                  <c:v>66.505075000000005</c:v>
                </c:pt>
                <c:pt idx="11">
                  <c:v>83.667675000000003</c:v>
                </c:pt>
                <c:pt idx="12">
                  <c:v>96.539625000000001</c:v>
                </c:pt>
                <c:pt idx="13">
                  <c:v>105.120925</c:v>
                </c:pt>
                <c:pt idx="14">
                  <c:v>109.411575</c:v>
                </c:pt>
                <c:pt idx="15">
                  <c:v>113.702225</c:v>
                </c:pt>
                <c:pt idx="16">
                  <c:v>120.1382</c:v>
                </c:pt>
                <c:pt idx="17">
                  <c:v>133.01015000000001</c:v>
                </c:pt>
                <c:pt idx="18">
                  <c:v>165.19002500000002</c:v>
                </c:pt>
                <c:pt idx="19">
                  <c:v>184.49795000000003</c:v>
                </c:pt>
                <c:pt idx="20">
                  <c:v>199.51522500000004</c:v>
                </c:pt>
                <c:pt idx="21">
                  <c:v>205.95120000000006</c:v>
                </c:pt>
                <c:pt idx="22">
                  <c:v>210.24185000000006</c:v>
                </c:pt>
                <c:pt idx="23">
                  <c:v>212.38717500000007</c:v>
                </c:pt>
                <c:pt idx="24">
                  <c:v>214.53250000000008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9CC-4649-AD29-917FFC5172F4}"/>
            </c:ext>
          </c:extLst>
        </c:ser>
        <c:ser>
          <c:idx val="2"/>
          <c:order val="2"/>
          <c:tx>
            <c:v>akumulace</c:v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TV!$Z$9:$Z$33</c:f>
              <c:numCache>
                <c:formatCode>0</c:formatCode>
                <c:ptCount val="25"/>
                <c:pt idx="0" formatCode="General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</c:numCache>
            </c:numRef>
          </c:cat>
          <c:val>
            <c:numRef>
              <c:f>TV!$AC$9:$AC$33</c:f>
              <c:numCache>
                <c:formatCode>0</c:formatCode>
                <c:ptCount val="25"/>
                <c:pt idx="0">
                  <c:v>52.325000000000003</c:v>
                </c:pt>
                <c:pt idx="1">
                  <c:v>52.325000000000003</c:v>
                </c:pt>
                <c:pt idx="2">
                  <c:v>52.325000000000003</c:v>
                </c:pt>
                <c:pt idx="3">
                  <c:v>52.325000000000003</c:v>
                </c:pt>
                <c:pt idx="4">
                  <c:v>52.325000000000003</c:v>
                </c:pt>
                <c:pt idx="5">
                  <c:v>52.325000000000003</c:v>
                </c:pt>
                <c:pt idx="6">
                  <c:v>52.325000000000003</c:v>
                </c:pt>
                <c:pt idx="7">
                  <c:v>52.325000000000003</c:v>
                </c:pt>
                <c:pt idx="8">
                  <c:v>48.547647916666662</c:v>
                </c:pt>
                <c:pt idx="9">
                  <c:v>49.060945833333321</c:v>
                </c:pt>
                <c:pt idx="10">
                  <c:v>49.57424374999998</c:v>
                </c:pt>
                <c:pt idx="11">
                  <c:v>47.942216666666639</c:v>
                </c:pt>
                <c:pt idx="12">
                  <c:v>50.600839583333297</c:v>
                </c:pt>
                <c:pt idx="13">
                  <c:v>52.32500000000001</c:v>
                </c:pt>
                <c:pt idx="14">
                  <c:v>52.325000000000003</c:v>
                </c:pt>
                <c:pt idx="15">
                  <c:v>52.325000000000003</c:v>
                </c:pt>
                <c:pt idx="16">
                  <c:v>52.325000000000003</c:v>
                </c:pt>
                <c:pt idx="17">
                  <c:v>52.325000000000003</c:v>
                </c:pt>
                <c:pt idx="18">
                  <c:v>35.675697916666664</c:v>
                </c:pt>
                <c:pt idx="19">
                  <c:v>31.898345833333327</c:v>
                </c:pt>
                <c:pt idx="20">
                  <c:v>32.411643749999982</c:v>
                </c:pt>
                <c:pt idx="21">
                  <c:v>41.506241666666646</c:v>
                </c:pt>
                <c:pt idx="22">
                  <c:v>52.325000000000003</c:v>
                </c:pt>
                <c:pt idx="23">
                  <c:v>52.325000000000003</c:v>
                </c:pt>
                <c:pt idx="24">
                  <c:v>52.325000000000003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9CC-4649-AD29-917FFC5172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1040896"/>
        <c:axId val="81042816"/>
      </c:areaChart>
      <c:catAx>
        <c:axId val="810408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cs-CZ"/>
                  <a:t>čas [hod]</a:t>
                </a:r>
              </a:p>
            </c:rich>
          </c:tx>
          <c:layout>
            <c:manualLayout>
              <c:xMode val="edge"/>
              <c:yMode val="edge"/>
              <c:x val="0.41793641277073867"/>
              <c:y val="0.8860772783148950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810428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10428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cs-CZ"/>
                  <a:t>energie [kWh]</a:t>
                </a:r>
              </a:p>
            </c:rich>
          </c:tx>
          <c:layout>
            <c:manualLayout>
              <c:xMode val="edge"/>
              <c:yMode val="edge"/>
              <c:x val="2.7072758037225066E-2"/>
              <c:y val="0.3639247151068149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8104089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4940920456009084"/>
          <c:y val="0.40189939865111779"/>
          <c:w val="0.13705601520622104"/>
          <c:h val="0.1835446360344199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034" footer="0.49212598450000034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cs-CZ"/>
              <a:t>hodinová potřeba</a:t>
            </a:r>
          </a:p>
        </c:rich>
      </c:tx>
      <c:layout>
        <c:manualLayout>
          <c:xMode val="edge"/>
          <c:yMode val="edge"/>
          <c:x val="0.41197220065801632"/>
          <c:y val="3.728813559322040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387332873133592"/>
          <c:y val="0.19322065880008407"/>
          <c:w val="0.75528233941937462"/>
          <c:h val="0.59322132087745016"/>
        </c:manualLayout>
      </c:layout>
      <c:barChart>
        <c:barDir val="col"/>
        <c:grouping val="stacked"/>
        <c:varyColors val="0"/>
        <c:ser>
          <c:idx val="0"/>
          <c:order val="0"/>
          <c:tx>
            <c:v>uživatelé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TV!$Z$10:$Z$33</c:f>
              <c:numCache>
                <c:formatCode>0</c:formatCode>
                <c:ptCount val="2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</c:numCache>
            </c:numRef>
          </c:cat>
          <c:val>
            <c:numRef>
              <c:f>TV!$G$10:$G$33</c:f>
              <c:numCache>
                <c:formatCode>0</c:formatCode>
                <c:ptCount val="24"/>
                <c:pt idx="0">
                  <c:v>2.1453250000000001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2.1453250000000001</c:v>
                </c:pt>
                <c:pt idx="6">
                  <c:v>12.871950000000002</c:v>
                </c:pt>
                <c:pt idx="7">
                  <c:v>19.307925000000001</c:v>
                </c:pt>
                <c:pt idx="8">
                  <c:v>15.017275000000003</c:v>
                </c:pt>
                <c:pt idx="9">
                  <c:v>15.017275000000003</c:v>
                </c:pt>
                <c:pt idx="10">
                  <c:v>17.162600000000001</c:v>
                </c:pt>
                <c:pt idx="11">
                  <c:v>12.871950000000002</c:v>
                </c:pt>
                <c:pt idx="12">
                  <c:v>8.5813000000000006</c:v>
                </c:pt>
                <c:pt idx="13">
                  <c:v>4.2906500000000003</c:v>
                </c:pt>
                <c:pt idx="14">
                  <c:v>4.2906500000000003</c:v>
                </c:pt>
                <c:pt idx="15">
                  <c:v>6.4359750000000009</c:v>
                </c:pt>
                <c:pt idx="16">
                  <c:v>12.871950000000002</c:v>
                </c:pt>
                <c:pt idx="17">
                  <c:v>32.179875000000003</c:v>
                </c:pt>
                <c:pt idx="18">
                  <c:v>19.307925000000001</c:v>
                </c:pt>
                <c:pt idx="19">
                  <c:v>15.017275000000003</c:v>
                </c:pt>
                <c:pt idx="20">
                  <c:v>6.4359750000000009</c:v>
                </c:pt>
                <c:pt idx="21">
                  <c:v>4.2906500000000003</c:v>
                </c:pt>
                <c:pt idx="22">
                  <c:v>2.1453250000000001</c:v>
                </c:pt>
                <c:pt idx="23">
                  <c:v>2.1453250000000001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A0-48F8-BF45-912A72212BBF}"/>
            </c:ext>
          </c:extLst>
        </c:ser>
        <c:ser>
          <c:idx val="1"/>
          <c:order val="1"/>
          <c:tx>
            <c:v>personál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TV!$I$10:$I$33</c:f>
              <c:numCache>
                <c:formatCode>0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FA0-48F8-BF45-912A72212BBF}"/>
            </c:ext>
          </c:extLst>
        </c:ser>
        <c:ser>
          <c:idx val="2"/>
          <c:order val="2"/>
          <c:tx>
            <c:v>gastro</c:v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TV!$K$10:$K$33</c:f>
              <c:numCache>
                <c:formatCode>0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FA0-48F8-BF45-912A72212BBF}"/>
            </c:ext>
          </c:extLst>
        </c:ser>
        <c:ser>
          <c:idx val="3"/>
          <c:order val="3"/>
          <c:tx>
            <c:v>úklid</c:v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TV!$M$10:$M$33</c:f>
              <c:numCache>
                <c:formatCode>0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FA0-48F8-BF45-912A72212BBF}"/>
            </c:ext>
          </c:extLst>
        </c:ser>
        <c:ser>
          <c:idx val="4"/>
          <c:order val="4"/>
          <c:tx>
            <c:strRef>
              <c:f>TV!$N$8</c:f>
              <c:strCache>
                <c:ptCount val="1"/>
                <c:pt idx="0">
                  <c:v>ostatní</c:v>
                </c:pt>
              </c:strCache>
            </c:strRef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TV!$O$10:$O$33</c:f>
              <c:numCache>
                <c:formatCode>0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FA0-48F8-BF45-912A72212B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1106048"/>
        <c:axId val="81107968"/>
      </c:barChart>
      <c:catAx>
        <c:axId val="811060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cs-CZ"/>
                  <a:t>čas [hod]</a:t>
                </a:r>
              </a:p>
            </c:rich>
          </c:tx>
          <c:layout>
            <c:manualLayout>
              <c:xMode val="edge"/>
              <c:yMode val="edge"/>
              <c:x val="0.43309896122139707"/>
              <c:y val="0.8779675252457849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811079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11079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cs-CZ"/>
                  <a:t>příkon [kW]</a:t>
                </a:r>
              </a:p>
            </c:rich>
          </c:tx>
          <c:layout>
            <c:manualLayout>
              <c:xMode val="edge"/>
              <c:yMode val="edge"/>
              <c:x val="2.8169014084507043E-2"/>
              <c:y val="0.372882067707639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81106048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7852186610476579"/>
          <c:y val="0.32881427109746986"/>
          <c:w val="0.10739436619718311"/>
          <c:h val="0.325424440588994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034" footer="0.49212598450000034"/>
    <c:pageSetup paperSize="9" orientation="landscape" verticalDpi="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cs-CZ"/>
              <a:t>křivka odběru</a:t>
            </a:r>
          </a:p>
        </c:rich>
      </c:tx>
      <c:layout>
        <c:manualLayout>
          <c:xMode val="edge"/>
          <c:yMode val="edge"/>
          <c:x val="0.41491435941444277"/>
          <c:y val="3.374233128834359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428309882429607"/>
          <c:y val="0.18711656441717794"/>
          <c:w val="0.83365278595989367"/>
          <c:h val="0.53987730061349781"/>
        </c:manualLayout>
      </c:layout>
      <c:areaChart>
        <c:grouping val="stacked"/>
        <c:varyColors val="0"/>
        <c:ser>
          <c:idx val="0"/>
          <c:order val="0"/>
          <c:tx>
            <c:v>ztráta cirkulací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TV!$Z$9:$Z$33</c:f>
              <c:numCache>
                <c:formatCode>0</c:formatCode>
                <c:ptCount val="25"/>
                <c:pt idx="0" formatCode="General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</c:numCache>
            </c:numRef>
          </c:cat>
          <c:val>
            <c:numRef>
              <c:f>TV!$AA$9:$AA$33</c:f>
              <c:numCache>
                <c:formatCode>0</c:formatCode>
                <c:ptCount val="25"/>
                <c:pt idx="0" formatCode="General">
                  <c:v>0</c:v>
                </c:pt>
                <c:pt idx="1">
                  <c:v>4.4694270833333354</c:v>
                </c:pt>
                <c:pt idx="2">
                  <c:v>8.9388541666666708</c:v>
                </c:pt>
                <c:pt idx="3">
                  <c:v>13.408281250000005</c:v>
                </c:pt>
                <c:pt idx="4">
                  <c:v>17.877708333333342</c:v>
                </c:pt>
                <c:pt idx="5">
                  <c:v>22.347135416666678</c:v>
                </c:pt>
                <c:pt idx="6">
                  <c:v>26.816562500000014</c:v>
                </c:pt>
                <c:pt idx="7">
                  <c:v>31.28598958333335</c:v>
                </c:pt>
                <c:pt idx="8">
                  <c:v>35.755416666666683</c:v>
                </c:pt>
                <c:pt idx="9">
                  <c:v>40.224843750000019</c:v>
                </c:pt>
                <c:pt idx="10">
                  <c:v>44.694270833333356</c:v>
                </c:pt>
                <c:pt idx="11">
                  <c:v>49.163697916666692</c:v>
                </c:pt>
                <c:pt idx="12">
                  <c:v>53.633125000000028</c:v>
                </c:pt>
                <c:pt idx="13">
                  <c:v>58.102552083333364</c:v>
                </c:pt>
                <c:pt idx="14">
                  <c:v>62.571979166666701</c:v>
                </c:pt>
                <c:pt idx="15">
                  <c:v>67.041406250000037</c:v>
                </c:pt>
                <c:pt idx="16">
                  <c:v>71.510833333333366</c:v>
                </c:pt>
                <c:pt idx="17">
                  <c:v>75.980260416666695</c:v>
                </c:pt>
                <c:pt idx="18">
                  <c:v>80.449687500000024</c:v>
                </c:pt>
                <c:pt idx="19">
                  <c:v>84.919114583333354</c:v>
                </c:pt>
                <c:pt idx="20">
                  <c:v>89.388541666666683</c:v>
                </c:pt>
                <c:pt idx="21">
                  <c:v>93.857968750000012</c:v>
                </c:pt>
                <c:pt idx="22">
                  <c:v>98.327395833333341</c:v>
                </c:pt>
                <c:pt idx="23">
                  <c:v>102.79682291666667</c:v>
                </c:pt>
                <c:pt idx="24">
                  <c:v>107.26625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1C-409D-8565-7A1E35BCD96D}"/>
            </c:ext>
          </c:extLst>
        </c:ser>
        <c:ser>
          <c:idx val="1"/>
          <c:order val="1"/>
          <c:tx>
            <c:v>potřeba tepla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TV!$Z$9:$Z$33</c:f>
              <c:numCache>
                <c:formatCode>0</c:formatCode>
                <c:ptCount val="25"/>
                <c:pt idx="0" formatCode="General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</c:numCache>
            </c:numRef>
          </c:cat>
          <c:val>
            <c:numRef>
              <c:f>TV!$AB$9:$AB$33</c:f>
              <c:numCache>
                <c:formatCode>0</c:formatCode>
                <c:ptCount val="25"/>
                <c:pt idx="0" formatCode="General">
                  <c:v>0</c:v>
                </c:pt>
                <c:pt idx="1">
                  <c:v>2.1453250000000001</c:v>
                </c:pt>
                <c:pt idx="2">
                  <c:v>2.1453250000000001</c:v>
                </c:pt>
                <c:pt idx="3">
                  <c:v>2.1453250000000001</c:v>
                </c:pt>
                <c:pt idx="4">
                  <c:v>2.1453250000000001</c:v>
                </c:pt>
                <c:pt idx="5">
                  <c:v>2.1453250000000001</c:v>
                </c:pt>
                <c:pt idx="6">
                  <c:v>4.2906500000000003</c:v>
                </c:pt>
                <c:pt idx="7">
                  <c:v>17.162600000000001</c:v>
                </c:pt>
                <c:pt idx="8">
                  <c:v>36.470525000000002</c:v>
                </c:pt>
                <c:pt idx="9">
                  <c:v>51.487800000000007</c:v>
                </c:pt>
                <c:pt idx="10">
                  <c:v>66.505075000000005</c:v>
                </c:pt>
                <c:pt idx="11">
                  <c:v>83.667675000000003</c:v>
                </c:pt>
                <c:pt idx="12">
                  <c:v>96.539625000000001</c:v>
                </c:pt>
                <c:pt idx="13">
                  <c:v>105.120925</c:v>
                </c:pt>
                <c:pt idx="14">
                  <c:v>109.411575</c:v>
                </c:pt>
                <c:pt idx="15">
                  <c:v>113.702225</c:v>
                </c:pt>
                <c:pt idx="16">
                  <c:v>120.1382</c:v>
                </c:pt>
                <c:pt idx="17">
                  <c:v>133.01015000000001</c:v>
                </c:pt>
                <c:pt idx="18">
                  <c:v>165.19002500000002</c:v>
                </c:pt>
                <c:pt idx="19">
                  <c:v>184.49795000000003</c:v>
                </c:pt>
                <c:pt idx="20">
                  <c:v>199.51522500000004</c:v>
                </c:pt>
                <c:pt idx="21">
                  <c:v>205.95120000000006</c:v>
                </c:pt>
                <c:pt idx="22">
                  <c:v>210.24185000000006</c:v>
                </c:pt>
                <c:pt idx="23">
                  <c:v>212.38717500000007</c:v>
                </c:pt>
                <c:pt idx="24">
                  <c:v>214.53250000000008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21C-409D-8565-7A1E35BCD96D}"/>
            </c:ext>
          </c:extLst>
        </c:ser>
        <c:ser>
          <c:idx val="2"/>
          <c:order val="2"/>
          <c:tx>
            <c:v>akumulace</c:v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TV!$Z$9:$Z$33</c:f>
              <c:numCache>
                <c:formatCode>0</c:formatCode>
                <c:ptCount val="25"/>
                <c:pt idx="0" formatCode="General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</c:numCache>
            </c:numRef>
          </c:cat>
          <c:val>
            <c:numRef>
              <c:f>TV!$AC$9:$AC$33</c:f>
              <c:numCache>
                <c:formatCode>0</c:formatCode>
                <c:ptCount val="25"/>
                <c:pt idx="0">
                  <c:v>52.325000000000003</c:v>
                </c:pt>
                <c:pt idx="1">
                  <c:v>52.325000000000003</c:v>
                </c:pt>
                <c:pt idx="2">
                  <c:v>52.325000000000003</c:v>
                </c:pt>
                <c:pt idx="3">
                  <c:v>52.325000000000003</c:v>
                </c:pt>
                <c:pt idx="4">
                  <c:v>52.325000000000003</c:v>
                </c:pt>
                <c:pt idx="5">
                  <c:v>52.325000000000003</c:v>
                </c:pt>
                <c:pt idx="6">
                  <c:v>52.325000000000003</c:v>
                </c:pt>
                <c:pt idx="7">
                  <c:v>52.325000000000003</c:v>
                </c:pt>
                <c:pt idx="8">
                  <c:v>48.547647916666662</c:v>
                </c:pt>
                <c:pt idx="9">
                  <c:v>49.060945833333321</c:v>
                </c:pt>
                <c:pt idx="10">
                  <c:v>49.57424374999998</c:v>
                </c:pt>
                <c:pt idx="11">
                  <c:v>47.942216666666639</c:v>
                </c:pt>
                <c:pt idx="12">
                  <c:v>50.600839583333297</c:v>
                </c:pt>
                <c:pt idx="13">
                  <c:v>52.32500000000001</c:v>
                </c:pt>
                <c:pt idx="14">
                  <c:v>52.325000000000003</c:v>
                </c:pt>
                <c:pt idx="15">
                  <c:v>52.325000000000003</c:v>
                </c:pt>
                <c:pt idx="16">
                  <c:v>52.325000000000003</c:v>
                </c:pt>
                <c:pt idx="17">
                  <c:v>52.325000000000003</c:v>
                </c:pt>
                <c:pt idx="18">
                  <c:v>35.675697916666664</c:v>
                </c:pt>
                <c:pt idx="19">
                  <c:v>31.898345833333327</c:v>
                </c:pt>
                <c:pt idx="20">
                  <c:v>32.411643749999982</c:v>
                </c:pt>
                <c:pt idx="21">
                  <c:v>41.506241666666646</c:v>
                </c:pt>
                <c:pt idx="22">
                  <c:v>52.325000000000003</c:v>
                </c:pt>
                <c:pt idx="23">
                  <c:v>52.325000000000003</c:v>
                </c:pt>
                <c:pt idx="24">
                  <c:v>52.325000000000003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21C-409D-8565-7A1E35BCD9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1370112"/>
        <c:axId val="81384576"/>
      </c:areaChart>
      <c:catAx>
        <c:axId val="813701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cs-CZ"/>
                  <a:t>čas [hod]</a:t>
                </a:r>
              </a:p>
            </c:rich>
          </c:tx>
          <c:layout>
            <c:manualLayout>
              <c:xMode val="edge"/>
              <c:yMode val="edge"/>
              <c:x val="0.48948414908939492"/>
              <c:y val="0.8098159509202453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813845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13845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cs-CZ"/>
                  <a:t>energie [kWh]</a:t>
                </a:r>
              </a:p>
            </c:rich>
          </c:tx>
          <c:layout>
            <c:manualLayout>
              <c:xMode val="edge"/>
              <c:yMode val="edge"/>
              <c:x val="3.0592734225621414E-2"/>
              <c:y val="0.3312883435582825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8137011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1739981833054853"/>
          <c:y val="0.91104294478527559"/>
          <c:w val="0.44741913952916496"/>
          <c:h val="6.748466257668717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034" footer="0.49212598450000034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cs-CZ"/>
              <a:t>hodinová potřeba</a:t>
            </a:r>
          </a:p>
        </c:rich>
      </c:tx>
      <c:layout>
        <c:manualLayout>
          <c:xMode val="edge"/>
          <c:yMode val="edge"/>
          <c:x val="0.38931297709923768"/>
          <c:y val="3.519061583577713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259541984732814"/>
          <c:y val="0.17888563049853373"/>
          <c:w val="0.8606870229007636"/>
          <c:h val="0.56011730205278587"/>
        </c:manualLayout>
      </c:layout>
      <c:barChart>
        <c:barDir val="col"/>
        <c:grouping val="stacked"/>
        <c:varyColors val="0"/>
        <c:ser>
          <c:idx val="0"/>
          <c:order val="0"/>
          <c:tx>
            <c:v>uživatelé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TV!$Z$10:$Z$33</c:f>
              <c:numCache>
                <c:formatCode>0</c:formatCode>
                <c:ptCount val="2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</c:numCache>
            </c:numRef>
          </c:cat>
          <c:val>
            <c:numRef>
              <c:f>TV!$G$10:$G$33</c:f>
              <c:numCache>
                <c:formatCode>0</c:formatCode>
                <c:ptCount val="24"/>
                <c:pt idx="0">
                  <c:v>2.1453250000000001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2.1453250000000001</c:v>
                </c:pt>
                <c:pt idx="6">
                  <c:v>12.871950000000002</c:v>
                </c:pt>
                <c:pt idx="7">
                  <c:v>19.307925000000001</c:v>
                </c:pt>
                <c:pt idx="8">
                  <c:v>15.017275000000003</c:v>
                </c:pt>
                <c:pt idx="9">
                  <c:v>15.017275000000003</c:v>
                </c:pt>
                <c:pt idx="10">
                  <c:v>17.162600000000001</c:v>
                </c:pt>
                <c:pt idx="11">
                  <c:v>12.871950000000002</c:v>
                </c:pt>
                <c:pt idx="12">
                  <c:v>8.5813000000000006</c:v>
                </c:pt>
                <c:pt idx="13">
                  <c:v>4.2906500000000003</c:v>
                </c:pt>
                <c:pt idx="14">
                  <c:v>4.2906500000000003</c:v>
                </c:pt>
                <c:pt idx="15">
                  <c:v>6.4359750000000009</c:v>
                </c:pt>
                <c:pt idx="16">
                  <c:v>12.871950000000002</c:v>
                </c:pt>
                <c:pt idx="17">
                  <c:v>32.179875000000003</c:v>
                </c:pt>
                <c:pt idx="18">
                  <c:v>19.307925000000001</c:v>
                </c:pt>
                <c:pt idx="19">
                  <c:v>15.017275000000003</c:v>
                </c:pt>
                <c:pt idx="20">
                  <c:v>6.4359750000000009</c:v>
                </c:pt>
                <c:pt idx="21">
                  <c:v>4.2906500000000003</c:v>
                </c:pt>
                <c:pt idx="22">
                  <c:v>2.1453250000000001</c:v>
                </c:pt>
                <c:pt idx="23">
                  <c:v>2.1453250000000001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4B-4380-8D58-0DFE7CC3745F}"/>
            </c:ext>
          </c:extLst>
        </c:ser>
        <c:ser>
          <c:idx val="1"/>
          <c:order val="1"/>
          <c:tx>
            <c:v>personál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TV!$I$10:$I$33</c:f>
              <c:numCache>
                <c:formatCode>0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74B-4380-8D58-0DFE7CC3745F}"/>
            </c:ext>
          </c:extLst>
        </c:ser>
        <c:ser>
          <c:idx val="2"/>
          <c:order val="2"/>
          <c:tx>
            <c:v>gastro</c:v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TV!$K$10:$K$33</c:f>
              <c:numCache>
                <c:formatCode>0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74B-4380-8D58-0DFE7CC3745F}"/>
            </c:ext>
          </c:extLst>
        </c:ser>
        <c:ser>
          <c:idx val="3"/>
          <c:order val="3"/>
          <c:tx>
            <c:v>úklid</c:v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TV!$M$10:$M$33</c:f>
              <c:numCache>
                <c:formatCode>0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74B-4380-8D58-0DFE7CC3745F}"/>
            </c:ext>
          </c:extLst>
        </c:ser>
        <c:ser>
          <c:idx val="4"/>
          <c:order val="4"/>
          <c:tx>
            <c:strRef>
              <c:f>TV!$N$8</c:f>
              <c:strCache>
                <c:ptCount val="1"/>
                <c:pt idx="0">
                  <c:v>ostatní</c:v>
                </c:pt>
              </c:strCache>
            </c:strRef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TV!$O$10:$O$33</c:f>
              <c:numCache>
                <c:formatCode>0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74B-4380-8D58-0DFE7CC374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7041408"/>
        <c:axId val="97047680"/>
      </c:barChart>
      <c:catAx>
        <c:axId val="970414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cs-CZ"/>
                  <a:t>čas [hod]</a:t>
                </a:r>
              </a:p>
            </c:rich>
          </c:tx>
          <c:layout>
            <c:manualLayout>
              <c:xMode val="edge"/>
              <c:yMode val="edge"/>
              <c:x val="0.49045801526717603"/>
              <c:y val="0.8181818181818190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970476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70476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cs-CZ"/>
                  <a:t>příkon [kW]</a:t>
                </a:r>
              </a:p>
            </c:rich>
          </c:tx>
          <c:layout>
            <c:manualLayout>
              <c:xMode val="edge"/>
              <c:yMode val="edge"/>
              <c:x val="3.053435114503817E-2"/>
              <c:y val="0.3577712609970679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97041408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053435114503818"/>
          <c:y val="0.91495601173020458"/>
          <c:w val="0.47519083969465703"/>
          <c:h val="6.451612903225813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5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034" footer="0.49212598450000034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561975</xdr:colOff>
      <xdr:row>39</xdr:row>
      <xdr:rowOff>123825</xdr:rowOff>
    </xdr:from>
    <xdr:to>
      <xdr:col>26</xdr:col>
      <xdr:colOff>409575</xdr:colOff>
      <xdr:row>59</xdr:row>
      <xdr:rowOff>104775</xdr:rowOff>
    </xdr:to>
    <xdr:graphicFrame macro="">
      <xdr:nvGraphicFramePr>
        <xdr:cNvPr id="1041" name="Chart 1">
          <a:extLst>
            <a:ext uri="{FF2B5EF4-FFF2-40B4-BE49-F238E27FC236}">
              <a16:creationId xmlns:a16="http://schemas.microsoft.com/office/drawing/2014/main" id="{00000000-0008-0000-0000-000011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590550</xdr:colOff>
      <xdr:row>60</xdr:row>
      <xdr:rowOff>19050</xdr:rowOff>
    </xdr:from>
    <xdr:to>
      <xdr:col>26</xdr:col>
      <xdr:colOff>447675</xdr:colOff>
      <xdr:row>79</xdr:row>
      <xdr:rowOff>142875</xdr:rowOff>
    </xdr:to>
    <xdr:graphicFrame macro="">
      <xdr:nvGraphicFramePr>
        <xdr:cNvPr id="1042" name="Chart 2">
          <a:extLst>
            <a:ext uri="{FF2B5EF4-FFF2-40B4-BE49-F238E27FC236}">
              <a16:creationId xmlns:a16="http://schemas.microsoft.com/office/drawing/2014/main" id="{00000000-0008-0000-0000-000012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16</xdr:row>
      <xdr:rowOff>28575</xdr:rowOff>
    </xdr:from>
    <xdr:to>
      <xdr:col>8</xdr:col>
      <xdr:colOff>1095375</xdr:colOff>
      <xdr:row>31</xdr:row>
      <xdr:rowOff>180975</xdr:rowOff>
    </xdr:to>
    <xdr:graphicFrame macro="">
      <xdr:nvGraphicFramePr>
        <xdr:cNvPr id="2065" name="Chart 1">
          <a:extLst>
            <a:ext uri="{FF2B5EF4-FFF2-40B4-BE49-F238E27FC236}">
              <a16:creationId xmlns:a16="http://schemas.microsoft.com/office/drawing/2014/main" id="{00000000-0008-0000-0100-000011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57150</xdr:colOff>
      <xdr:row>32</xdr:row>
      <xdr:rowOff>19050</xdr:rowOff>
    </xdr:from>
    <xdr:to>
      <xdr:col>8</xdr:col>
      <xdr:colOff>876300</xdr:colOff>
      <xdr:row>46</xdr:row>
      <xdr:rowOff>161925</xdr:rowOff>
    </xdr:to>
    <xdr:graphicFrame macro="">
      <xdr:nvGraphicFramePr>
        <xdr:cNvPr id="2066" name="Chart 2">
          <a:extLst>
            <a:ext uri="{FF2B5EF4-FFF2-40B4-BE49-F238E27FC236}">
              <a16:creationId xmlns:a16="http://schemas.microsoft.com/office/drawing/2014/main" id="{00000000-0008-0000-0100-000012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38</xdr:row>
      <xdr:rowOff>0</xdr:rowOff>
    </xdr:from>
    <xdr:to>
      <xdr:col>24</xdr:col>
      <xdr:colOff>352425</xdr:colOff>
      <xdr:row>56</xdr:row>
      <xdr:rowOff>152400</xdr:rowOff>
    </xdr:to>
    <xdr:graphicFrame macro="">
      <xdr:nvGraphicFramePr>
        <xdr:cNvPr id="3163" name="Chart 1">
          <a:extLst>
            <a:ext uri="{FF2B5EF4-FFF2-40B4-BE49-F238E27FC236}">
              <a16:creationId xmlns:a16="http://schemas.microsoft.com/office/drawing/2014/main" id="{00000000-0008-0000-0200-00005B0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0</xdr:colOff>
      <xdr:row>58</xdr:row>
      <xdr:rowOff>0</xdr:rowOff>
    </xdr:from>
    <xdr:to>
      <xdr:col>24</xdr:col>
      <xdr:colOff>361950</xdr:colOff>
      <xdr:row>77</xdr:row>
      <xdr:rowOff>133350</xdr:rowOff>
    </xdr:to>
    <xdr:graphicFrame macro="">
      <xdr:nvGraphicFramePr>
        <xdr:cNvPr id="3164" name="Chart 2">
          <a:extLst>
            <a:ext uri="{FF2B5EF4-FFF2-40B4-BE49-F238E27FC236}">
              <a16:creationId xmlns:a16="http://schemas.microsoft.com/office/drawing/2014/main" id="{00000000-0008-0000-0200-00005C0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514350</xdr:colOff>
      <xdr:row>68</xdr:row>
      <xdr:rowOff>38100</xdr:rowOff>
    </xdr:from>
    <xdr:to>
      <xdr:col>12</xdr:col>
      <xdr:colOff>209550</xdr:colOff>
      <xdr:row>76</xdr:row>
      <xdr:rowOff>76200</xdr:rowOff>
    </xdr:to>
    <xdr:sp macro="" textlink="">
      <xdr:nvSpPr>
        <xdr:cNvPr id="3075" name="AutoShape 3">
          <a:extLst>
            <a:ext uri="{FF2B5EF4-FFF2-40B4-BE49-F238E27FC236}">
              <a16:creationId xmlns:a16="http://schemas.microsoft.com/office/drawing/2014/main" id="{00000000-0008-0000-0200-0000030C0000}"/>
            </a:ext>
          </a:extLst>
        </xdr:cNvPr>
        <xdr:cNvSpPr>
          <a:spLocks noChangeArrowheads="1"/>
        </xdr:cNvSpPr>
      </xdr:nvSpPr>
      <xdr:spPr bwMode="auto">
        <a:xfrm>
          <a:off x="1676400" y="11239500"/>
          <a:ext cx="2838450" cy="1333500"/>
        </a:xfrm>
        <a:prstGeom prst="wedgeRoundRectCallout">
          <a:avLst>
            <a:gd name="adj1" fmla="val -29532"/>
            <a:gd name="adj2" fmla="val -99287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cs-CZ" sz="1800" b="1" i="0" u="none" strike="noStrike" baseline="0">
              <a:solidFill>
                <a:srgbClr val="FF0000"/>
              </a:solidFill>
              <a:latin typeface="Arial"/>
              <a:cs typeface="Arial"/>
            </a:rPr>
            <a:t>1. </a:t>
          </a:r>
          <a:r>
            <a:rPr lang="cs-CZ" sz="1200" b="1" i="0" u="none" strike="noStrike" baseline="0">
              <a:solidFill>
                <a:srgbClr val="FF0000"/>
              </a:solidFill>
              <a:latin typeface="Arial"/>
              <a:cs typeface="Arial"/>
            </a:rPr>
            <a:t>Nejprve zadejte požadavky na potřebu teplé vody. </a:t>
          </a:r>
        </a:p>
        <a:p>
          <a:pPr algn="l" rtl="0">
            <a:defRPr sz="1000"/>
          </a:pPr>
          <a:r>
            <a:rPr lang="cs-CZ" sz="1200" b="1" i="0" u="none" strike="noStrike" baseline="0">
              <a:solidFill>
                <a:srgbClr val="FF0000"/>
              </a:solidFill>
              <a:latin typeface="Arial"/>
              <a:cs typeface="Arial"/>
            </a:rPr>
            <a:t>Tím získáte celkovou potřebu TV</a:t>
          </a:r>
          <a:endParaRPr lang="cs-CZ" sz="1200" b="0" i="0" u="none" strike="noStrike" baseline="0">
            <a:solidFill>
              <a:srgbClr val="FF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cs-CZ" sz="1200" b="0" i="0" u="none" strike="noStrike" baseline="0">
              <a:solidFill>
                <a:srgbClr val="FF0000"/>
              </a:solidFill>
              <a:latin typeface="Arial"/>
              <a:cs typeface="Arial"/>
            </a:rPr>
            <a:t>Přepisujte pouze žlutě zvýrazněné údaje</a:t>
          </a:r>
        </a:p>
      </xdr:txBody>
    </xdr:sp>
    <xdr:clientData/>
  </xdr:twoCellAnchor>
  <xdr:twoCellAnchor>
    <xdr:from>
      <xdr:col>15</xdr:col>
      <xdr:colOff>228600</xdr:colOff>
      <xdr:row>0</xdr:row>
      <xdr:rowOff>66675</xdr:rowOff>
    </xdr:from>
    <xdr:to>
      <xdr:col>20</xdr:col>
      <xdr:colOff>428625</xdr:colOff>
      <xdr:row>4</xdr:row>
      <xdr:rowOff>142875</xdr:rowOff>
    </xdr:to>
    <xdr:sp macro="" textlink="">
      <xdr:nvSpPr>
        <xdr:cNvPr id="3076" name="AutoShape 4">
          <a:extLst>
            <a:ext uri="{FF2B5EF4-FFF2-40B4-BE49-F238E27FC236}">
              <a16:creationId xmlns:a16="http://schemas.microsoft.com/office/drawing/2014/main" id="{00000000-0008-0000-0200-0000040C0000}"/>
            </a:ext>
          </a:extLst>
        </xdr:cNvPr>
        <xdr:cNvSpPr>
          <a:spLocks noChangeArrowheads="1"/>
        </xdr:cNvSpPr>
      </xdr:nvSpPr>
      <xdr:spPr bwMode="auto">
        <a:xfrm>
          <a:off x="5619750" y="66675"/>
          <a:ext cx="2324100" cy="790575"/>
        </a:xfrm>
        <a:prstGeom prst="wedgeRoundRectCallout">
          <a:avLst>
            <a:gd name="adj1" fmla="val -32375"/>
            <a:gd name="adj2" fmla="val 115060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cs-CZ" sz="1800" b="1" i="0" u="none" strike="noStrike" baseline="0">
              <a:solidFill>
                <a:srgbClr val="FF0000"/>
              </a:solidFill>
              <a:latin typeface="Arial"/>
              <a:cs typeface="Arial"/>
            </a:rPr>
            <a:t>2. </a:t>
          </a:r>
          <a:r>
            <a:rPr lang="cs-CZ" sz="1200" b="1" i="0" u="none" strike="noStrike" baseline="0">
              <a:solidFill>
                <a:srgbClr val="FF0000"/>
              </a:solidFill>
              <a:latin typeface="Arial"/>
              <a:cs typeface="Arial"/>
            </a:rPr>
            <a:t>Zadejte součinitel ztrát. </a:t>
          </a:r>
        </a:p>
        <a:p>
          <a:pPr algn="l" rtl="0">
            <a:defRPr sz="1000"/>
          </a:pPr>
          <a:r>
            <a:rPr lang="cs-CZ" sz="1200" b="1" i="0" u="none" strike="noStrike" baseline="0">
              <a:solidFill>
                <a:srgbClr val="FF0000"/>
              </a:solidFill>
              <a:latin typeface="Arial"/>
              <a:cs typeface="Arial"/>
            </a:rPr>
            <a:t>nové rozvody   z = 0,5</a:t>
          </a:r>
        </a:p>
        <a:p>
          <a:pPr algn="l" rtl="0">
            <a:defRPr sz="1000"/>
          </a:pPr>
          <a:r>
            <a:rPr lang="cs-CZ" sz="1200" b="1" i="0" u="none" strike="noStrike" baseline="0">
              <a:solidFill>
                <a:srgbClr val="FF0000"/>
              </a:solidFill>
              <a:latin typeface="Arial"/>
              <a:cs typeface="Arial"/>
            </a:rPr>
            <a:t>starší rozvody   z = 2 ÷ 4</a:t>
          </a:r>
        </a:p>
      </xdr:txBody>
    </xdr:sp>
    <xdr:clientData/>
  </xdr:twoCellAnchor>
  <xdr:twoCellAnchor>
    <xdr:from>
      <xdr:col>8</xdr:col>
      <xdr:colOff>38100</xdr:colOff>
      <xdr:row>0</xdr:row>
      <xdr:rowOff>85725</xdr:rowOff>
    </xdr:from>
    <xdr:to>
      <xdr:col>13</xdr:col>
      <xdr:colOff>276225</xdr:colOff>
      <xdr:row>5</xdr:row>
      <xdr:rowOff>0</xdr:rowOff>
    </xdr:to>
    <xdr:sp macro="" textlink="">
      <xdr:nvSpPr>
        <xdr:cNvPr id="3077" name="AutoShape 5">
          <a:extLst>
            <a:ext uri="{FF2B5EF4-FFF2-40B4-BE49-F238E27FC236}">
              <a16:creationId xmlns:a16="http://schemas.microsoft.com/office/drawing/2014/main" id="{00000000-0008-0000-0200-0000050C0000}"/>
            </a:ext>
          </a:extLst>
        </xdr:cNvPr>
        <xdr:cNvSpPr>
          <a:spLocks noChangeArrowheads="1"/>
        </xdr:cNvSpPr>
      </xdr:nvSpPr>
      <xdr:spPr bwMode="auto">
        <a:xfrm>
          <a:off x="2895600" y="85725"/>
          <a:ext cx="2047875" cy="790575"/>
        </a:xfrm>
        <a:prstGeom prst="wedgeRoundRectCallout">
          <a:avLst>
            <a:gd name="adj1" fmla="val 40699"/>
            <a:gd name="adj2" fmla="val 141565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cs-CZ" sz="1800" b="1" i="0" u="none" strike="noStrike" baseline="0">
              <a:solidFill>
                <a:srgbClr val="FF0000"/>
              </a:solidFill>
              <a:latin typeface="Arial"/>
              <a:cs typeface="Arial"/>
            </a:rPr>
            <a:t>3. </a:t>
          </a:r>
          <a:r>
            <a:rPr lang="cs-CZ" sz="1200" b="1" i="0" u="none" strike="noStrike" baseline="0">
              <a:solidFill>
                <a:srgbClr val="FF0000"/>
              </a:solidFill>
              <a:latin typeface="Arial"/>
              <a:cs typeface="Arial"/>
            </a:rPr>
            <a:t>Vyplňte procentuální rozložení spotřeby TV v průběhu dne</a:t>
          </a:r>
        </a:p>
      </xdr:txBody>
    </xdr:sp>
    <xdr:clientData/>
  </xdr:twoCellAnchor>
  <xdr:twoCellAnchor>
    <xdr:from>
      <xdr:col>1</xdr:col>
      <xdr:colOff>9525</xdr:colOff>
      <xdr:row>33</xdr:row>
      <xdr:rowOff>28575</xdr:rowOff>
    </xdr:from>
    <xdr:to>
      <xdr:col>5</xdr:col>
      <xdr:colOff>133350</xdr:colOff>
      <xdr:row>37</xdr:row>
      <xdr:rowOff>104775</xdr:rowOff>
    </xdr:to>
    <xdr:sp macro="" textlink="">
      <xdr:nvSpPr>
        <xdr:cNvPr id="3078" name="AutoShape 6">
          <a:extLst>
            <a:ext uri="{FF2B5EF4-FFF2-40B4-BE49-F238E27FC236}">
              <a16:creationId xmlns:a16="http://schemas.microsoft.com/office/drawing/2014/main" id="{00000000-0008-0000-0200-0000060C0000}"/>
            </a:ext>
          </a:extLst>
        </xdr:cNvPr>
        <xdr:cNvSpPr>
          <a:spLocks noChangeArrowheads="1"/>
        </xdr:cNvSpPr>
      </xdr:nvSpPr>
      <xdr:spPr bwMode="auto">
        <a:xfrm>
          <a:off x="400050" y="5476875"/>
          <a:ext cx="1504950" cy="733425"/>
        </a:xfrm>
        <a:prstGeom prst="wedgeRoundRectCallout">
          <a:avLst>
            <a:gd name="adj1" fmla="val 53167"/>
            <a:gd name="adj2" fmla="val 131819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cs-CZ" sz="1800" b="1" i="0" u="none" strike="noStrike" baseline="0">
              <a:solidFill>
                <a:srgbClr val="FF0000"/>
              </a:solidFill>
              <a:latin typeface="Arial"/>
              <a:cs typeface="Arial"/>
            </a:rPr>
            <a:t>4. </a:t>
          </a:r>
          <a:r>
            <a:rPr lang="cs-CZ" sz="1200" b="1" i="0" u="none" strike="noStrike" baseline="0">
              <a:solidFill>
                <a:srgbClr val="FF0000"/>
              </a:solidFill>
              <a:latin typeface="Arial"/>
              <a:cs typeface="Arial"/>
            </a:rPr>
            <a:t>Stanovte výkon ohřívače a objem akumulace</a:t>
          </a:r>
        </a:p>
      </xdr:txBody>
    </xdr:sp>
    <xdr:clientData/>
  </xdr:twoCellAnchor>
  <xdr:twoCellAnchor>
    <xdr:from>
      <xdr:col>13</xdr:col>
      <xdr:colOff>228600</xdr:colOff>
      <xdr:row>37</xdr:row>
      <xdr:rowOff>28575</xdr:rowOff>
    </xdr:from>
    <xdr:to>
      <xdr:col>18</xdr:col>
      <xdr:colOff>342900</xdr:colOff>
      <xdr:row>44</xdr:row>
      <xdr:rowOff>114300</xdr:rowOff>
    </xdr:to>
    <xdr:sp macro="" textlink="">
      <xdr:nvSpPr>
        <xdr:cNvPr id="3079" name="AutoShape 7">
          <a:extLst>
            <a:ext uri="{FF2B5EF4-FFF2-40B4-BE49-F238E27FC236}">
              <a16:creationId xmlns:a16="http://schemas.microsoft.com/office/drawing/2014/main" id="{00000000-0008-0000-0200-0000070C0000}"/>
            </a:ext>
          </a:extLst>
        </xdr:cNvPr>
        <xdr:cNvSpPr>
          <a:spLocks noChangeArrowheads="1"/>
        </xdr:cNvSpPr>
      </xdr:nvSpPr>
      <xdr:spPr bwMode="auto">
        <a:xfrm>
          <a:off x="4895850" y="6134100"/>
          <a:ext cx="2238375" cy="1257300"/>
        </a:xfrm>
        <a:prstGeom prst="wedgeRoundRectCallout">
          <a:avLst>
            <a:gd name="adj1" fmla="val -78083"/>
            <a:gd name="adj2" fmla="val -39394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cs-CZ" sz="1800" b="1" i="0" u="none" strike="noStrike" baseline="0">
              <a:solidFill>
                <a:srgbClr val="FF0000"/>
              </a:solidFill>
              <a:latin typeface="Arial"/>
              <a:cs typeface="Arial"/>
            </a:rPr>
            <a:t>5. </a:t>
          </a:r>
          <a:r>
            <a:rPr lang="cs-CZ" sz="1200" b="1" i="0" u="none" strike="noStrike" baseline="0">
              <a:solidFill>
                <a:srgbClr val="FF0000"/>
              </a:solidFill>
              <a:latin typeface="Arial"/>
              <a:cs typeface="Arial"/>
            </a:rPr>
            <a:t>Stanovte počáteční nabití nádoby (mělo by odpovídat akumulaci o půlnoci, opakujte než se bude hodnota shodovat) </a:t>
          </a:r>
        </a:p>
      </xdr:txBody>
    </xdr:sp>
    <xdr:clientData/>
  </xdr:twoCellAnchor>
  <xdr:twoCellAnchor>
    <xdr:from>
      <xdr:col>6</xdr:col>
      <xdr:colOff>342900</xdr:colOff>
      <xdr:row>32</xdr:row>
      <xdr:rowOff>76200</xdr:rowOff>
    </xdr:from>
    <xdr:to>
      <xdr:col>20</xdr:col>
      <xdr:colOff>390525</xdr:colOff>
      <xdr:row>44</xdr:row>
      <xdr:rowOff>47625</xdr:rowOff>
    </xdr:to>
    <xdr:cxnSp macro="">
      <xdr:nvCxnSpPr>
        <xdr:cNvPr id="3170" name="AutoShape 8">
          <a:extLst>
            <a:ext uri="{FF2B5EF4-FFF2-40B4-BE49-F238E27FC236}">
              <a16:creationId xmlns:a16="http://schemas.microsoft.com/office/drawing/2014/main" id="{00000000-0008-0000-0200-0000620C0000}"/>
            </a:ext>
          </a:extLst>
        </xdr:cNvPr>
        <xdr:cNvCxnSpPr>
          <a:cxnSpLocks noChangeShapeType="1"/>
        </xdr:cNvCxnSpPr>
      </xdr:nvCxnSpPr>
      <xdr:spPr bwMode="auto">
        <a:xfrm rot="10800000" flipV="1">
          <a:off x="2476500" y="5353050"/>
          <a:ext cx="5429250" cy="1971675"/>
        </a:xfrm>
        <a:prstGeom prst="curvedConnector3">
          <a:avLst>
            <a:gd name="adj1" fmla="val 67366"/>
          </a:avLst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21</xdr:col>
      <xdr:colOff>409575</xdr:colOff>
      <xdr:row>14</xdr:row>
      <xdr:rowOff>104775</xdr:rowOff>
    </xdr:from>
    <xdr:to>
      <xdr:col>25</xdr:col>
      <xdr:colOff>209550</xdr:colOff>
      <xdr:row>23</xdr:row>
      <xdr:rowOff>85725</xdr:rowOff>
    </xdr:to>
    <xdr:sp macro="" textlink="">
      <xdr:nvSpPr>
        <xdr:cNvPr id="3081" name="AutoShape 9">
          <a:extLst>
            <a:ext uri="{FF2B5EF4-FFF2-40B4-BE49-F238E27FC236}">
              <a16:creationId xmlns:a16="http://schemas.microsoft.com/office/drawing/2014/main" id="{00000000-0008-0000-0200-0000090C0000}"/>
            </a:ext>
          </a:extLst>
        </xdr:cNvPr>
        <xdr:cNvSpPr>
          <a:spLocks noChangeArrowheads="1"/>
        </xdr:cNvSpPr>
      </xdr:nvSpPr>
      <xdr:spPr bwMode="auto">
        <a:xfrm>
          <a:off x="8601075" y="2466975"/>
          <a:ext cx="2238375" cy="1438275"/>
        </a:xfrm>
        <a:prstGeom prst="wedgeRoundRectCallout">
          <a:avLst>
            <a:gd name="adj1" fmla="val -70852"/>
            <a:gd name="adj2" fmla="val -118213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cs-CZ" sz="1800" b="1" i="0" u="none" strike="noStrike" baseline="0">
              <a:solidFill>
                <a:srgbClr val="FF0000"/>
              </a:solidFill>
              <a:latin typeface="Arial"/>
              <a:cs typeface="Arial"/>
            </a:rPr>
            <a:t>6. </a:t>
          </a:r>
          <a:r>
            <a:rPr lang="cs-CZ" sz="1200" b="1" i="0" u="none" strike="noStrike" baseline="0">
              <a:solidFill>
                <a:srgbClr val="FF0000"/>
              </a:solidFill>
              <a:latin typeface="Arial"/>
              <a:cs typeface="Arial"/>
            </a:rPr>
            <a:t>Zkontrolujte, že v žádné době nedosahuje akumulace záporných hodnot (to by znamenalo, že je nedostatečný výkon nebo objem akumulace)</a:t>
          </a:r>
        </a:p>
      </xdr:txBody>
    </xdr:sp>
    <xdr:clientData/>
  </xdr:twoCellAnchor>
  <xdr:twoCellAnchor>
    <xdr:from>
      <xdr:col>5</xdr:col>
      <xdr:colOff>190500</xdr:colOff>
      <xdr:row>39</xdr:row>
      <xdr:rowOff>76200</xdr:rowOff>
    </xdr:from>
    <xdr:to>
      <xdr:col>6</xdr:col>
      <xdr:colOff>85725</xdr:colOff>
      <xdr:row>42</xdr:row>
      <xdr:rowOff>85725</xdr:rowOff>
    </xdr:to>
    <xdr:sp macro="" textlink="">
      <xdr:nvSpPr>
        <xdr:cNvPr id="3172" name="Freeform 12">
          <a:extLst>
            <a:ext uri="{FF2B5EF4-FFF2-40B4-BE49-F238E27FC236}">
              <a16:creationId xmlns:a16="http://schemas.microsoft.com/office/drawing/2014/main" id="{00000000-0008-0000-0200-0000640C0000}"/>
            </a:ext>
          </a:extLst>
        </xdr:cNvPr>
        <xdr:cNvSpPr>
          <a:spLocks/>
        </xdr:cNvSpPr>
      </xdr:nvSpPr>
      <xdr:spPr bwMode="auto">
        <a:xfrm>
          <a:off x="1962150" y="6505575"/>
          <a:ext cx="257175" cy="514350"/>
        </a:xfrm>
        <a:custGeom>
          <a:avLst/>
          <a:gdLst>
            <a:gd name="T0" fmla="*/ 2147483647 w 27"/>
            <a:gd name="T1" fmla="*/ 0 h 54"/>
            <a:gd name="T2" fmla="*/ 0 w 27"/>
            <a:gd name="T3" fmla="*/ 2147483647 h 54"/>
            <a:gd name="T4" fmla="*/ 2147483647 w 27"/>
            <a:gd name="T5" fmla="*/ 2147483647 h 54"/>
            <a:gd name="T6" fmla="*/ 0 60000 65536"/>
            <a:gd name="T7" fmla="*/ 0 60000 65536"/>
            <a:gd name="T8" fmla="*/ 0 60000 65536"/>
            <a:gd name="T9" fmla="*/ 0 w 27"/>
            <a:gd name="T10" fmla="*/ 0 h 54"/>
            <a:gd name="T11" fmla="*/ 27 w 27"/>
            <a:gd name="T12" fmla="*/ 54 h 54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27" h="54">
              <a:moveTo>
                <a:pt x="27" y="0"/>
              </a:moveTo>
              <a:lnTo>
                <a:pt x="0" y="25"/>
              </a:lnTo>
              <a:lnTo>
                <a:pt x="26" y="54"/>
              </a:lnTo>
            </a:path>
          </a:pathLst>
        </a:custGeom>
        <a:noFill/>
        <a:ln w="9525">
          <a:solidFill>
            <a:srgbClr val="000000"/>
          </a:solidFill>
          <a:round/>
          <a:headEnd type="none" w="med" len="med"/>
          <a:tailEnd type="triangle" w="med" len="med"/>
        </a:ln>
      </xdr:spPr>
    </xdr:sp>
    <xdr:clientData/>
  </xdr:twoCellAnchor>
  <xdr:twoCellAnchor>
    <xdr:from>
      <xdr:col>5</xdr:col>
      <xdr:colOff>142875</xdr:colOff>
      <xdr:row>40</xdr:row>
      <xdr:rowOff>114300</xdr:rowOff>
    </xdr:from>
    <xdr:to>
      <xdr:col>6</xdr:col>
      <xdr:colOff>38100</xdr:colOff>
      <xdr:row>43</xdr:row>
      <xdr:rowOff>123825</xdr:rowOff>
    </xdr:to>
    <xdr:sp macro="" textlink="">
      <xdr:nvSpPr>
        <xdr:cNvPr id="3173" name="Freeform 13">
          <a:extLst>
            <a:ext uri="{FF2B5EF4-FFF2-40B4-BE49-F238E27FC236}">
              <a16:creationId xmlns:a16="http://schemas.microsoft.com/office/drawing/2014/main" id="{00000000-0008-0000-0200-0000650C0000}"/>
            </a:ext>
          </a:extLst>
        </xdr:cNvPr>
        <xdr:cNvSpPr>
          <a:spLocks/>
        </xdr:cNvSpPr>
      </xdr:nvSpPr>
      <xdr:spPr bwMode="auto">
        <a:xfrm>
          <a:off x="1914525" y="6705600"/>
          <a:ext cx="257175" cy="514350"/>
        </a:xfrm>
        <a:custGeom>
          <a:avLst/>
          <a:gdLst>
            <a:gd name="T0" fmla="*/ 2147483647 w 27"/>
            <a:gd name="T1" fmla="*/ 0 h 54"/>
            <a:gd name="T2" fmla="*/ 0 w 27"/>
            <a:gd name="T3" fmla="*/ 2147483647 h 54"/>
            <a:gd name="T4" fmla="*/ 2147483647 w 27"/>
            <a:gd name="T5" fmla="*/ 2147483647 h 54"/>
            <a:gd name="T6" fmla="*/ 0 60000 65536"/>
            <a:gd name="T7" fmla="*/ 0 60000 65536"/>
            <a:gd name="T8" fmla="*/ 0 60000 65536"/>
            <a:gd name="T9" fmla="*/ 0 w 27"/>
            <a:gd name="T10" fmla="*/ 0 h 54"/>
            <a:gd name="T11" fmla="*/ 27 w 27"/>
            <a:gd name="T12" fmla="*/ 54 h 54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27" h="54">
              <a:moveTo>
                <a:pt x="27" y="0"/>
              </a:moveTo>
              <a:lnTo>
                <a:pt x="0" y="25"/>
              </a:lnTo>
              <a:lnTo>
                <a:pt x="26" y="54"/>
              </a:lnTo>
            </a:path>
          </a:pathLst>
        </a:custGeom>
        <a:noFill/>
        <a:ln w="9525">
          <a:solidFill>
            <a:srgbClr val="000000"/>
          </a:solidFill>
          <a:round/>
          <a:headEnd type="none" w="med" len="med"/>
          <a:tailEnd type="triangle" w="med" len="med"/>
        </a:ln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AI83"/>
  <sheetViews>
    <sheetView tabSelected="1" topLeftCell="A24" zoomScaleNormal="100" workbookViewId="0">
      <selection activeCell="G47" sqref="G47:H47"/>
    </sheetView>
  </sheetViews>
  <sheetFormatPr defaultColWidth="8.7109375" defaultRowHeight="12.75" x14ac:dyDescent="0.2"/>
  <cols>
    <col min="1" max="1" width="5.7109375" style="115" customWidth="1"/>
    <col min="2" max="2" width="4" style="115" customWidth="1"/>
    <col min="3" max="3" width="3.42578125" style="115" customWidth="1"/>
    <col min="4" max="4" width="4" style="115" customWidth="1"/>
    <col min="5" max="5" width="8.7109375" style="115"/>
    <col min="6" max="14" width="5.42578125" style="115" customWidth="1"/>
    <col min="15" max="15" width="5.28515625" style="115" customWidth="1"/>
    <col min="16" max="17" width="5.42578125" style="115" customWidth="1"/>
    <col min="18" max="18" width="10.140625" style="115" customWidth="1"/>
    <col min="19" max="20" width="5.42578125" style="115" customWidth="1"/>
    <col min="21" max="21" width="10.140625" style="115" customWidth="1"/>
    <col min="22" max="22" width="8.7109375" style="115"/>
    <col min="23" max="26" width="9.140625" style="115" customWidth="1"/>
    <col min="27" max="16384" width="8.7109375" style="115"/>
  </cols>
  <sheetData>
    <row r="1" spans="1:35" ht="18" x14ac:dyDescent="0.25">
      <c r="A1" s="114" t="s">
        <v>0</v>
      </c>
    </row>
    <row r="2" spans="1:35" x14ac:dyDescent="0.2">
      <c r="A2" s="231" t="s">
        <v>46</v>
      </c>
      <c r="B2" s="231"/>
      <c r="C2" s="231"/>
      <c r="D2" s="231"/>
      <c r="E2" s="231"/>
    </row>
    <row r="3" spans="1:35" x14ac:dyDescent="0.2">
      <c r="A3" s="240" t="s">
        <v>65</v>
      </c>
      <c r="B3" s="241"/>
      <c r="C3" s="241"/>
      <c r="D3" s="241"/>
      <c r="E3" s="241"/>
    </row>
    <row r="4" spans="1:35" x14ac:dyDescent="0.2">
      <c r="A4" s="232" t="s">
        <v>47</v>
      </c>
      <c r="B4" s="232"/>
      <c r="C4" s="232"/>
      <c r="D4" s="232"/>
      <c r="E4" s="232"/>
    </row>
    <row r="5" spans="1:35" x14ac:dyDescent="0.2">
      <c r="A5" s="214" t="s">
        <v>79</v>
      </c>
      <c r="B5" s="214"/>
      <c r="C5" s="214"/>
      <c r="D5" s="214"/>
      <c r="E5" s="214"/>
    </row>
    <row r="6" spans="1:35" ht="13.5" thickBot="1" x14ac:dyDescent="0.25"/>
    <row r="7" spans="1:35" s="116" customFormat="1" ht="13.5" thickBot="1" x14ac:dyDescent="0.25">
      <c r="B7" s="117"/>
      <c r="C7" s="118"/>
      <c r="D7" s="119"/>
      <c r="E7" s="227" t="s">
        <v>11</v>
      </c>
      <c r="F7" s="228"/>
      <c r="G7" s="228"/>
      <c r="H7" s="228"/>
      <c r="I7" s="228"/>
      <c r="J7" s="228"/>
      <c r="K7" s="228"/>
      <c r="L7" s="228"/>
      <c r="M7" s="228"/>
      <c r="N7" s="228"/>
      <c r="O7" s="234"/>
      <c r="P7" s="227" t="s">
        <v>48</v>
      </c>
      <c r="Q7" s="228"/>
      <c r="R7" s="120" t="s">
        <v>51</v>
      </c>
      <c r="S7" s="224" t="s">
        <v>53</v>
      </c>
      <c r="T7" s="225"/>
      <c r="U7" s="121" t="s">
        <v>57</v>
      </c>
      <c r="W7" s="213" t="s">
        <v>59</v>
      </c>
      <c r="X7" s="213"/>
      <c r="Y7" s="213"/>
      <c r="Z7" s="213" t="s">
        <v>66</v>
      </c>
      <c r="AA7" s="213"/>
      <c r="AB7" s="213"/>
      <c r="AC7" s="213"/>
      <c r="AD7" s="202"/>
    </row>
    <row r="8" spans="1:35" s="116" customFormat="1" x14ac:dyDescent="0.2">
      <c r="B8" s="215" t="s">
        <v>1</v>
      </c>
      <c r="C8" s="216"/>
      <c r="D8" s="217"/>
      <c r="E8" s="122" t="s">
        <v>3</v>
      </c>
      <c r="F8" s="235" t="s">
        <v>4</v>
      </c>
      <c r="G8" s="221"/>
      <c r="H8" s="220" t="s">
        <v>5</v>
      </c>
      <c r="I8" s="221"/>
      <c r="J8" s="220" t="s">
        <v>6</v>
      </c>
      <c r="K8" s="221"/>
      <c r="L8" s="220" t="s">
        <v>7</v>
      </c>
      <c r="M8" s="221"/>
      <c r="N8" s="220" t="s">
        <v>8</v>
      </c>
      <c r="O8" s="222"/>
      <c r="P8" s="224" t="s">
        <v>50</v>
      </c>
      <c r="Q8" s="230"/>
      <c r="R8" s="123" t="s">
        <v>52</v>
      </c>
      <c r="S8" s="226" t="s">
        <v>55</v>
      </c>
      <c r="T8" s="221"/>
      <c r="U8" s="124" t="s">
        <v>56</v>
      </c>
      <c r="W8" s="202" t="s">
        <v>53</v>
      </c>
      <c r="X8" s="202" t="s">
        <v>51</v>
      </c>
      <c r="Y8" s="202" t="s">
        <v>61</v>
      </c>
      <c r="Z8" s="202" t="s">
        <v>69</v>
      </c>
      <c r="AA8" s="202" t="s">
        <v>48</v>
      </c>
      <c r="AB8" s="202" t="s">
        <v>67</v>
      </c>
      <c r="AC8" s="202" t="s">
        <v>68</v>
      </c>
      <c r="AD8" s="202"/>
    </row>
    <row r="9" spans="1:35" s="116" customFormat="1" ht="13.5" thickBot="1" x14ac:dyDescent="0.25">
      <c r="B9" s="125"/>
      <c r="C9" s="126"/>
      <c r="D9" s="127"/>
      <c r="E9" s="128"/>
      <c r="F9" s="129" t="s">
        <v>9</v>
      </c>
      <c r="G9" s="130" t="s">
        <v>10</v>
      </c>
      <c r="H9" s="130" t="s">
        <v>9</v>
      </c>
      <c r="I9" s="130" t="s">
        <v>10</v>
      </c>
      <c r="J9" s="130" t="s">
        <v>9</v>
      </c>
      <c r="K9" s="130" t="s">
        <v>10</v>
      </c>
      <c r="L9" s="130" t="s">
        <v>9</v>
      </c>
      <c r="M9" s="130" t="s">
        <v>10</v>
      </c>
      <c r="N9" s="130" t="s">
        <v>9</v>
      </c>
      <c r="O9" s="131" t="s">
        <v>10</v>
      </c>
      <c r="P9" s="132" t="s">
        <v>49</v>
      </c>
      <c r="Q9" s="210">
        <f>N40</f>
        <v>0.5</v>
      </c>
      <c r="R9" s="133" t="s">
        <v>10</v>
      </c>
      <c r="S9" s="134" t="s">
        <v>9</v>
      </c>
      <c r="T9" s="135" t="s">
        <v>15</v>
      </c>
      <c r="U9" s="136" t="s">
        <v>10</v>
      </c>
      <c r="W9" s="202" t="s">
        <v>60</v>
      </c>
      <c r="X9" s="202" t="s">
        <v>60</v>
      </c>
      <c r="Y9" s="202"/>
      <c r="Z9" s="203">
        <v>0</v>
      </c>
      <c r="AA9" s="203">
        <v>0</v>
      </c>
      <c r="AB9" s="203">
        <v>0</v>
      </c>
      <c r="AC9" s="204">
        <f>G46</f>
        <v>52.325000000000003</v>
      </c>
      <c r="AD9" s="202"/>
    </row>
    <row r="10" spans="1:35" x14ac:dyDescent="0.2">
      <c r="B10" s="137">
        <v>0</v>
      </c>
      <c r="C10" s="138" t="s">
        <v>2</v>
      </c>
      <c r="D10" s="139">
        <v>1</v>
      </c>
      <c r="E10" s="140">
        <f>G10+I10+K10+M10+O10</f>
        <v>2.1453250000000001</v>
      </c>
      <c r="F10" s="193">
        <v>1</v>
      </c>
      <c r="G10" s="141">
        <f t="shared" ref="G10:G33" si="0">F10/100*uzi</f>
        <v>2.1453250000000001</v>
      </c>
      <c r="H10" s="196">
        <v>0</v>
      </c>
      <c r="I10" s="141">
        <f t="shared" ref="I10:I33" si="1">H10/100*per</f>
        <v>0</v>
      </c>
      <c r="J10" s="196">
        <v>1</v>
      </c>
      <c r="K10" s="141">
        <f t="shared" ref="K10:K33" si="2">J10/100*gas</f>
        <v>0</v>
      </c>
      <c r="L10" s="196">
        <v>0</v>
      </c>
      <c r="M10" s="141">
        <f t="shared" ref="M10:M33" si="3">L10/100*ukl</f>
        <v>0</v>
      </c>
      <c r="N10" s="196">
        <v>0</v>
      </c>
      <c r="O10" s="142">
        <f t="shared" ref="O10:O33" si="4">N10/100*ost</f>
        <v>0</v>
      </c>
      <c r="P10" s="137"/>
      <c r="Q10" s="143">
        <f t="shared" ref="Q10:Q33" si="5">pot/24*ztv</f>
        <v>4.4694270833333354</v>
      </c>
      <c r="R10" s="144">
        <f>E10+Q10</f>
        <v>6.614752083333336</v>
      </c>
      <c r="S10" s="145">
        <f>T10/ele</f>
        <v>0.33073760416666681</v>
      </c>
      <c r="T10" s="146">
        <f>MIN(ele,R10+aku-G46)</f>
        <v>6.614752083333336</v>
      </c>
      <c r="U10" s="147">
        <f>T10-R10+G46</f>
        <v>52.325000000000003</v>
      </c>
      <c r="V10" s="148"/>
      <c r="W10" s="205">
        <f>spot/24</f>
        <v>13.40828125</v>
      </c>
      <c r="X10" s="205">
        <f>R10</f>
        <v>6.614752083333336</v>
      </c>
      <c r="Y10" s="205">
        <f>X10-W10</f>
        <v>-6.793529166666664</v>
      </c>
      <c r="Z10" s="205">
        <v>1</v>
      </c>
      <c r="AA10" s="204">
        <f>Q10+AA9</f>
        <v>4.4694270833333354</v>
      </c>
      <c r="AB10" s="204">
        <f>E10+AB9</f>
        <v>2.1453250000000001</v>
      </c>
      <c r="AC10" s="204">
        <f>U10</f>
        <v>52.325000000000003</v>
      </c>
      <c r="AD10" s="205"/>
      <c r="AE10" s="148"/>
      <c r="AF10" s="148"/>
      <c r="AG10" s="148"/>
      <c r="AH10" s="148"/>
      <c r="AI10" s="148"/>
    </row>
    <row r="11" spans="1:35" x14ac:dyDescent="0.2">
      <c r="B11" s="149">
        <v>1</v>
      </c>
      <c r="C11" s="150" t="s">
        <v>2</v>
      </c>
      <c r="D11" s="151">
        <v>2</v>
      </c>
      <c r="E11" s="152">
        <f t="shared" ref="E11:E33" si="6">G11+I11+K11+M11+O11</f>
        <v>0</v>
      </c>
      <c r="F11" s="194">
        <v>0</v>
      </c>
      <c r="G11" s="153">
        <f t="shared" si="0"/>
        <v>0</v>
      </c>
      <c r="H11" s="197">
        <v>0</v>
      </c>
      <c r="I11" s="153">
        <f t="shared" si="1"/>
        <v>0</v>
      </c>
      <c r="J11" s="197">
        <v>0</v>
      </c>
      <c r="K11" s="153">
        <f t="shared" si="2"/>
        <v>0</v>
      </c>
      <c r="L11" s="197">
        <v>0</v>
      </c>
      <c r="M11" s="153">
        <f t="shared" si="3"/>
        <v>0</v>
      </c>
      <c r="N11" s="197">
        <v>0</v>
      </c>
      <c r="O11" s="154">
        <f t="shared" si="4"/>
        <v>0</v>
      </c>
      <c r="P11" s="149"/>
      <c r="Q11" s="155">
        <f t="shared" si="5"/>
        <v>4.4694270833333354</v>
      </c>
      <c r="R11" s="156">
        <f t="shared" ref="R11:R33" si="7">E11+Q11</f>
        <v>4.4694270833333354</v>
      </c>
      <c r="S11" s="157">
        <f t="shared" ref="S11:S33" si="8">T11/ele</f>
        <v>0.2234713541666668</v>
      </c>
      <c r="T11" s="153">
        <f t="shared" ref="T11:T33" si="9">MIN(ele,R11+aku-U10)</f>
        <v>4.4694270833333363</v>
      </c>
      <c r="U11" s="154">
        <f t="shared" ref="U11:U33" si="10">U10+T11-R11</f>
        <v>52.325000000000003</v>
      </c>
      <c r="V11" s="148"/>
      <c r="W11" s="205">
        <f>W10+spot/24</f>
        <v>26.8165625</v>
      </c>
      <c r="X11" s="205">
        <f>X10+R11</f>
        <v>11.084179166666672</v>
      </c>
      <c r="Y11" s="205">
        <f>X11-W11</f>
        <v>-15.732383333333328</v>
      </c>
      <c r="Z11" s="205">
        <v>2</v>
      </c>
      <c r="AA11" s="204">
        <f t="shared" ref="AA11:AA33" si="11">Q11+AA10</f>
        <v>8.9388541666666708</v>
      </c>
      <c r="AB11" s="204">
        <f t="shared" ref="AB11:AB33" si="12">E11+AB10</f>
        <v>2.1453250000000001</v>
      </c>
      <c r="AC11" s="204">
        <f t="shared" ref="AC11:AC33" si="13">U11</f>
        <v>52.325000000000003</v>
      </c>
      <c r="AD11" s="205"/>
      <c r="AE11" s="148"/>
      <c r="AF11" s="148"/>
      <c r="AG11" s="148"/>
      <c r="AH11" s="148"/>
      <c r="AI11" s="148"/>
    </row>
    <row r="12" spans="1:35" x14ac:dyDescent="0.2">
      <c r="B12" s="149">
        <v>2</v>
      </c>
      <c r="C12" s="150" t="s">
        <v>2</v>
      </c>
      <c r="D12" s="151">
        <v>3</v>
      </c>
      <c r="E12" s="152">
        <f t="shared" si="6"/>
        <v>0</v>
      </c>
      <c r="F12" s="194">
        <v>0</v>
      </c>
      <c r="G12" s="153">
        <f t="shared" si="0"/>
        <v>0</v>
      </c>
      <c r="H12" s="197">
        <v>0</v>
      </c>
      <c r="I12" s="153">
        <f t="shared" si="1"/>
        <v>0</v>
      </c>
      <c r="J12" s="197">
        <v>0</v>
      </c>
      <c r="K12" s="153">
        <f t="shared" si="2"/>
        <v>0</v>
      </c>
      <c r="L12" s="197">
        <v>0</v>
      </c>
      <c r="M12" s="153">
        <f t="shared" si="3"/>
        <v>0</v>
      </c>
      <c r="N12" s="197">
        <v>0</v>
      </c>
      <c r="O12" s="154">
        <f t="shared" si="4"/>
        <v>0</v>
      </c>
      <c r="P12" s="149"/>
      <c r="Q12" s="155">
        <f t="shared" si="5"/>
        <v>4.4694270833333354</v>
      </c>
      <c r="R12" s="156">
        <f t="shared" si="7"/>
        <v>4.4694270833333354</v>
      </c>
      <c r="S12" s="157">
        <f t="shared" si="8"/>
        <v>0.2234713541666668</v>
      </c>
      <c r="T12" s="153">
        <f t="shared" si="9"/>
        <v>4.4694270833333363</v>
      </c>
      <c r="U12" s="154">
        <f>U11+T12-R12</f>
        <v>52.325000000000003</v>
      </c>
      <c r="V12" s="148"/>
      <c r="W12" s="205">
        <f t="shared" ref="W12:W33" si="14">W11+spot/24</f>
        <v>40.224843749999998</v>
      </c>
      <c r="X12" s="205">
        <f>X11+R12</f>
        <v>15.553606250000009</v>
      </c>
      <c r="Y12" s="205">
        <f t="shared" ref="Y12:Y33" si="15">X12-W12</f>
        <v>-24.671237499999989</v>
      </c>
      <c r="Z12" s="205">
        <v>3</v>
      </c>
      <c r="AA12" s="204">
        <f t="shared" si="11"/>
        <v>13.408281250000005</v>
      </c>
      <c r="AB12" s="204">
        <f t="shared" si="12"/>
        <v>2.1453250000000001</v>
      </c>
      <c r="AC12" s="204">
        <f t="shared" si="13"/>
        <v>52.325000000000003</v>
      </c>
      <c r="AD12" s="205"/>
      <c r="AE12" s="148"/>
      <c r="AF12" s="148"/>
      <c r="AG12" s="148"/>
      <c r="AH12" s="148"/>
      <c r="AI12" s="148"/>
    </row>
    <row r="13" spans="1:35" x14ac:dyDescent="0.2">
      <c r="B13" s="149">
        <v>3</v>
      </c>
      <c r="C13" s="150" t="s">
        <v>2</v>
      </c>
      <c r="D13" s="151">
        <v>4</v>
      </c>
      <c r="E13" s="152">
        <f t="shared" si="6"/>
        <v>0</v>
      </c>
      <c r="F13" s="194">
        <v>0</v>
      </c>
      <c r="G13" s="153">
        <f t="shared" si="0"/>
        <v>0</v>
      </c>
      <c r="H13" s="197">
        <v>0</v>
      </c>
      <c r="I13" s="153">
        <f t="shared" si="1"/>
        <v>0</v>
      </c>
      <c r="J13" s="197">
        <v>0</v>
      </c>
      <c r="K13" s="153">
        <f t="shared" si="2"/>
        <v>0</v>
      </c>
      <c r="L13" s="197">
        <v>0</v>
      </c>
      <c r="M13" s="153">
        <f t="shared" si="3"/>
        <v>0</v>
      </c>
      <c r="N13" s="197">
        <v>0</v>
      </c>
      <c r="O13" s="154">
        <f t="shared" si="4"/>
        <v>0</v>
      </c>
      <c r="P13" s="149"/>
      <c r="Q13" s="155">
        <f t="shared" si="5"/>
        <v>4.4694270833333354</v>
      </c>
      <c r="R13" s="156">
        <f t="shared" si="7"/>
        <v>4.4694270833333354</v>
      </c>
      <c r="S13" s="157">
        <f t="shared" si="8"/>
        <v>0.2234713541666668</v>
      </c>
      <c r="T13" s="153">
        <f t="shared" si="9"/>
        <v>4.4694270833333363</v>
      </c>
      <c r="U13" s="154">
        <f t="shared" si="10"/>
        <v>52.325000000000003</v>
      </c>
      <c r="V13" s="148"/>
      <c r="W13" s="205">
        <f>W12+spot/24</f>
        <v>53.633125</v>
      </c>
      <c r="X13" s="205">
        <f>X12+R13</f>
        <v>20.023033333333345</v>
      </c>
      <c r="Y13" s="205">
        <f t="shared" si="15"/>
        <v>-33.610091666666655</v>
      </c>
      <c r="Z13" s="205">
        <v>4</v>
      </c>
      <c r="AA13" s="204">
        <f t="shared" si="11"/>
        <v>17.877708333333342</v>
      </c>
      <c r="AB13" s="204">
        <f t="shared" si="12"/>
        <v>2.1453250000000001</v>
      </c>
      <c r="AC13" s="204">
        <f t="shared" si="13"/>
        <v>52.325000000000003</v>
      </c>
      <c r="AD13" s="205"/>
      <c r="AE13" s="148"/>
      <c r="AF13" s="148"/>
      <c r="AG13" s="148"/>
      <c r="AH13" s="148"/>
      <c r="AI13" s="148"/>
    </row>
    <row r="14" spans="1:35" x14ac:dyDescent="0.2">
      <c r="B14" s="149">
        <v>4</v>
      </c>
      <c r="C14" s="150" t="s">
        <v>2</v>
      </c>
      <c r="D14" s="151">
        <v>5</v>
      </c>
      <c r="E14" s="152">
        <f t="shared" si="6"/>
        <v>0</v>
      </c>
      <c r="F14" s="194">
        <v>0</v>
      </c>
      <c r="G14" s="153">
        <f t="shared" si="0"/>
        <v>0</v>
      </c>
      <c r="H14" s="197">
        <v>0</v>
      </c>
      <c r="I14" s="153">
        <f t="shared" si="1"/>
        <v>0</v>
      </c>
      <c r="J14" s="197">
        <v>0</v>
      </c>
      <c r="K14" s="153">
        <f t="shared" si="2"/>
        <v>0</v>
      </c>
      <c r="L14" s="197">
        <v>0</v>
      </c>
      <c r="M14" s="153">
        <f t="shared" si="3"/>
        <v>0</v>
      </c>
      <c r="N14" s="197">
        <v>0</v>
      </c>
      <c r="O14" s="154">
        <f t="shared" si="4"/>
        <v>0</v>
      </c>
      <c r="P14" s="149"/>
      <c r="Q14" s="155">
        <f t="shared" si="5"/>
        <v>4.4694270833333354</v>
      </c>
      <c r="R14" s="156">
        <f t="shared" si="7"/>
        <v>4.4694270833333354</v>
      </c>
      <c r="S14" s="157">
        <f t="shared" si="8"/>
        <v>0.2234713541666668</v>
      </c>
      <c r="T14" s="153">
        <f t="shared" si="9"/>
        <v>4.4694270833333363</v>
      </c>
      <c r="U14" s="154">
        <f>U13+T14-R14</f>
        <v>52.325000000000003</v>
      </c>
      <c r="V14" s="148"/>
      <c r="W14" s="205">
        <f t="shared" si="14"/>
        <v>67.041406249999994</v>
      </c>
      <c r="X14" s="205">
        <f t="shared" ref="X14:X33" si="16">X13+R14</f>
        <v>24.492460416666681</v>
      </c>
      <c r="Y14" s="205">
        <f t="shared" si="15"/>
        <v>-42.548945833333313</v>
      </c>
      <c r="Z14" s="205">
        <v>5</v>
      </c>
      <c r="AA14" s="204">
        <f t="shared" si="11"/>
        <v>22.347135416666678</v>
      </c>
      <c r="AB14" s="204">
        <f t="shared" si="12"/>
        <v>2.1453250000000001</v>
      </c>
      <c r="AC14" s="204">
        <f t="shared" si="13"/>
        <v>52.325000000000003</v>
      </c>
      <c r="AD14" s="205"/>
      <c r="AE14" s="148"/>
      <c r="AF14" s="148"/>
      <c r="AG14" s="148"/>
      <c r="AH14" s="148"/>
      <c r="AI14" s="148"/>
    </row>
    <row r="15" spans="1:35" x14ac:dyDescent="0.2">
      <c r="B15" s="149">
        <v>5</v>
      </c>
      <c r="C15" s="150" t="s">
        <v>2</v>
      </c>
      <c r="D15" s="151">
        <v>6</v>
      </c>
      <c r="E15" s="152">
        <f t="shared" si="6"/>
        <v>2.1453250000000001</v>
      </c>
      <c r="F15" s="194">
        <v>1</v>
      </c>
      <c r="G15" s="153">
        <f>F15/100*uzi</f>
        <v>2.1453250000000001</v>
      </c>
      <c r="H15" s="197">
        <v>0</v>
      </c>
      <c r="I15" s="153">
        <f t="shared" si="1"/>
        <v>0</v>
      </c>
      <c r="J15" s="197">
        <v>0</v>
      </c>
      <c r="K15" s="153">
        <f t="shared" si="2"/>
        <v>0</v>
      </c>
      <c r="L15" s="197">
        <v>0</v>
      </c>
      <c r="M15" s="153">
        <f t="shared" si="3"/>
        <v>0</v>
      </c>
      <c r="N15" s="197">
        <v>0</v>
      </c>
      <c r="O15" s="154">
        <f t="shared" si="4"/>
        <v>0</v>
      </c>
      <c r="P15" s="149"/>
      <c r="Q15" s="155">
        <f t="shared" si="5"/>
        <v>4.4694270833333354</v>
      </c>
      <c r="R15" s="156">
        <f t="shared" si="7"/>
        <v>6.614752083333336</v>
      </c>
      <c r="S15" s="157">
        <f t="shared" si="8"/>
        <v>0.33073760416666681</v>
      </c>
      <c r="T15" s="153">
        <f t="shared" si="9"/>
        <v>6.614752083333336</v>
      </c>
      <c r="U15" s="154">
        <f t="shared" si="10"/>
        <v>52.325000000000003</v>
      </c>
      <c r="V15" s="148"/>
      <c r="W15" s="205">
        <f t="shared" si="14"/>
        <v>80.449687499999996</v>
      </c>
      <c r="X15" s="205">
        <f t="shared" si="16"/>
        <v>31.107212500000017</v>
      </c>
      <c r="Y15" s="205">
        <f t="shared" si="15"/>
        <v>-49.342474999999979</v>
      </c>
      <c r="Z15" s="205">
        <v>6</v>
      </c>
      <c r="AA15" s="204">
        <f t="shared" si="11"/>
        <v>26.816562500000014</v>
      </c>
      <c r="AB15" s="204">
        <f t="shared" si="12"/>
        <v>4.2906500000000003</v>
      </c>
      <c r="AC15" s="204">
        <f t="shared" si="13"/>
        <v>52.325000000000003</v>
      </c>
      <c r="AD15" s="205"/>
      <c r="AE15" s="148"/>
      <c r="AF15" s="148"/>
      <c r="AG15" s="148"/>
      <c r="AH15" s="148"/>
      <c r="AI15" s="148"/>
    </row>
    <row r="16" spans="1:35" x14ac:dyDescent="0.2">
      <c r="B16" s="149">
        <v>6</v>
      </c>
      <c r="C16" s="150" t="s">
        <v>2</v>
      </c>
      <c r="D16" s="151">
        <v>7</v>
      </c>
      <c r="E16" s="152">
        <f t="shared" si="6"/>
        <v>12.871950000000002</v>
      </c>
      <c r="F16" s="194">
        <v>6</v>
      </c>
      <c r="G16" s="153">
        <f t="shared" si="0"/>
        <v>12.871950000000002</v>
      </c>
      <c r="H16" s="197">
        <v>0</v>
      </c>
      <c r="I16" s="153">
        <f t="shared" si="1"/>
        <v>0</v>
      </c>
      <c r="J16" s="197">
        <v>1</v>
      </c>
      <c r="K16" s="153">
        <f t="shared" si="2"/>
        <v>0</v>
      </c>
      <c r="L16" s="197">
        <v>20</v>
      </c>
      <c r="M16" s="153">
        <f t="shared" si="3"/>
        <v>0</v>
      </c>
      <c r="N16" s="197">
        <v>0</v>
      </c>
      <c r="O16" s="154">
        <f t="shared" si="4"/>
        <v>0</v>
      </c>
      <c r="P16" s="149"/>
      <c r="Q16" s="155">
        <f t="shared" si="5"/>
        <v>4.4694270833333354</v>
      </c>
      <c r="R16" s="156">
        <f t="shared" si="7"/>
        <v>17.341377083333338</v>
      </c>
      <c r="S16" s="157">
        <f t="shared" si="8"/>
        <v>0.86706885416666712</v>
      </c>
      <c r="T16" s="153">
        <f t="shared" si="9"/>
        <v>17.341377083333342</v>
      </c>
      <c r="U16" s="154">
        <f t="shared" si="10"/>
        <v>52.325000000000003</v>
      </c>
      <c r="V16" s="148"/>
      <c r="W16" s="205">
        <f t="shared" si="14"/>
        <v>93.857968749999998</v>
      </c>
      <c r="X16" s="205">
        <f t="shared" si="16"/>
        <v>48.448589583333359</v>
      </c>
      <c r="Y16" s="205">
        <f t="shared" si="15"/>
        <v>-45.409379166666639</v>
      </c>
      <c r="Z16" s="205">
        <v>7</v>
      </c>
      <c r="AA16" s="204">
        <f t="shared" si="11"/>
        <v>31.28598958333335</v>
      </c>
      <c r="AB16" s="204">
        <f t="shared" si="12"/>
        <v>17.162600000000001</v>
      </c>
      <c r="AC16" s="204">
        <f t="shared" si="13"/>
        <v>52.325000000000003</v>
      </c>
      <c r="AD16" s="205"/>
      <c r="AE16" s="148"/>
      <c r="AF16" s="148"/>
      <c r="AG16" s="148"/>
      <c r="AH16" s="148"/>
      <c r="AI16" s="148"/>
    </row>
    <row r="17" spans="2:35" x14ac:dyDescent="0.2">
      <c r="B17" s="149">
        <v>7</v>
      </c>
      <c r="C17" s="150" t="s">
        <v>2</v>
      </c>
      <c r="D17" s="151">
        <v>8</v>
      </c>
      <c r="E17" s="152">
        <f t="shared" si="6"/>
        <v>19.307925000000001</v>
      </c>
      <c r="F17" s="194">
        <v>9</v>
      </c>
      <c r="G17" s="153">
        <f t="shared" si="0"/>
        <v>19.307925000000001</v>
      </c>
      <c r="H17" s="197">
        <v>3</v>
      </c>
      <c r="I17" s="153">
        <f t="shared" si="1"/>
        <v>0</v>
      </c>
      <c r="J17" s="197">
        <v>2</v>
      </c>
      <c r="K17" s="153">
        <f t="shared" si="2"/>
        <v>0</v>
      </c>
      <c r="L17" s="197">
        <v>20</v>
      </c>
      <c r="M17" s="153">
        <f t="shared" si="3"/>
        <v>0</v>
      </c>
      <c r="N17" s="197">
        <v>0</v>
      </c>
      <c r="O17" s="154">
        <f t="shared" si="4"/>
        <v>0</v>
      </c>
      <c r="P17" s="149"/>
      <c r="Q17" s="155">
        <f t="shared" si="5"/>
        <v>4.4694270833333354</v>
      </c>
      <c r="R17" s="156">
        <f t="shared" si="7"/>
        <v>23.777352083333337</v>
      </c>
      <c r="S17" s="157">
        <f t="shared" si="8"/>
        <v>1</v>
      </c>
      <c r="T17" s="153">
        <f t="shared" si="9"/>
        <v>20</v>
      </c>
      <c r="U17" s="154">
        <f t="shared" si="10"/>
        <v>48.547647916666662</v>
      </c>
      <c r="V17" s="148"/>
      <c r="W17" s="205">
        <f t="shared" si="14"/>
        <v>107.26625</v>
      </c>
      <c r="X17" s="205">
        <f t="shared" si="16"/>
        <v>72.225941666666699</v>
      </c>
      <c r="Y17" s="205">
        <f t="shared" si="15"/>
        <v>-35.0403083333333</v>
      </c>
      <c r="Z17" s="205">
        <v>8</v>
      </c>
      <c r="AA17" s="204">
        <f t="shared" si="11"/>
        <v>35.755416666666683</v>
      </c>
      <c r="AB17" s="204">
        <f t="shared" si="12"/>
        <v>36.470525000000002</v>
      </c>
      <c r="AC17" s="204">
        <f t="shared" si="13"/>
        <v>48.547647916666662</v>
      </c>
      <c r="AD17" s="205"/>
      <c r="AE17" s="148"/>
      <c r="AF17" s="148"/>
      <c r="AG17" s="148"/>
      <c r="AH17" s="148"/>
      <c r="AI17" s="148"/>
    </row>
    <row r="18" spans="2:35" x14ac:dyDescent="0.2">
      <c r="B18" s="149">
        <v>8</v>
      </c>
      <c r="C18" s="150" t="s">
        <v>2</v>
      </c>
      <c r="D18" s="151">
        <v>9</v>
      </c>
      <c r="E18" s="152">
        <f t="shared" si="6"/>
        <v>15.017275000000003</v>
      </c>
      <c r="F18" s="194">
        <v>7</v>
      </c>
      <c r="G18" s="153">
        <f t="shared" si="0"/>
        <v>15.017275000000003</v>
      </c>
      <c r="H18" s="197">
        <v>15</v>
      </c>
      <c r="I18" s="153">
        <f t="shared" si="1"/>
        <v>0</v>
      </c>
      <c r="J18" s="197">
        <v>3</v>
      </c>
      <c r="K18" s="153">
        <f t="shared" si="2"/>
        <v>0</v>
      </c>
      <c r="L18" s="197">
        <v>0</v>
      </c>
      <c r="M18" s="153">
        <f t="shared" si="3"/>
        <v>0</v>
      </c>
      <c r="N18" s="197">
        <v>0</v>
      </c>
      <c r="O18" s="154">
        <f t="shared" si="4"/>
        <v>0</v>
      </c>
      <c r="P18" s="149"/>
      <c r="Q18" s="155">
        <f t="shared" si="5"/>
        <v>4.4694270833333354</v>
      </c>
      <c r="R18" s="156">
        <f t="shared" si="7"/>
        <v>19.486702083333338</v>
      </c>
      <c r="S18" s="157">
        <f t="shared" si="8"/>
        <v>1</v>
      </c>
      <c r="T18" s="153">
        <f t="shared" si="9"/>
        <v>20</v>
      </c>
      <c r="U18" s="154">
        <f>U17+T18-R18</f>
        <v>49.060945833333321</v>
      </c>
      <c r="V18" s="148"/>
      <c r="W18" s="205">
        <f t="shared" si="14"/>
        <v>120.67453125</v>
      </c>
      <c r="X18" s="205">
        <f t="shared" si="16"/>
        <v>91.712643750000041</v>
      </c>
      <c r="Y18" s="205">
        <f t="shared" si="15"/>
        <v>-28.96188749999996</v>
      </c>
      <c r="Z18" s="205">
        <v>9</v>
      </c>
      <c r="AA18" s="204">
        <f t="shared" si="11"/>
        <v>40.224843750000019</v>
      </c>
      <c r="AB18" s="204">
        <f t="shared" si="12"/>
        <v>51.487800000000007</v>
      </c>
      <c r="AC18" s="204">
        <f t="shared" si="13"/>
        <v>49.060945833333321</v>
      </c>
      <c r="AD18" s="205"/>
      <c r="AE18" s="148"/>
      <c r="AF18" s="148"/>
      <c r="AG18" s="148"/>
      <c r="AH18" s="148"/>
      <c r="AI18" s="148"/>
    </row>
    <row r="19" spans="2:35" x14ac:dyDescent="0.2">
      <c r="B19" s="149">
        <v>9</v>
      </c>
      <c r="C19" s="150" t="s">
        <v>2</v>
      </c>
      <c r="D19" s="151">
        <v>10</v>
      </c>
      <c r="E19" s="152">
        <f t="shared" si="6"/>
        <v>15.017275000000003</v>
      </c>
      <c r="F19" s="194">
        <v>7</v>
      </c>
      <c r="G19" s="153">
        <f t="shared" si="0"/>
        <v>15.017275000000003</v>
      </c>
      <c r="H19" s="197">
        <v>6</v>
      </c>
      <c r="I19" s="153">
        <f t="shared" si="1"/>
        <v>0</v>
      </c>
      <c r="J19" s="197">
        <v>5</v>
      </c>
      <c r="K19" s="153">
        <f t="shared" si="2"/>
        <v>0</v>
      </c>
      <c r="L19" s="197">
        <v>0</v>
      </c>
      <c r="M19" s="153">
        <f t="shared" si="3"/>
        <v>0</v>
      </c>
      <c r="N19" s="197">
        <v>0</v>
      </c>
      <c r="O19" s="154">
        <f t="shared" si="4"/>
        <v>0</v>
      </c>
      <c r="P19" s="149"/>
      <c r="Q19" s="155">
        <f t="shared" si="5"/>
        <v>4.4694270833333354</v>
      </c>
      <c r="R19" s="156">
        <f t="shared" si="7"/>
        <v>19.486702083333338</v>
      </c>
      <c r="S19" s="157">
        <f t="shared" si="8"/>
        <v>1</v>
      </c>
      <c r="T19" s="153">
        <f t="shared" si="9"/>
        <v>20</v>
      </c>
      <c r="U19" s="154">
        <f t="shared" si="10"/>
        <v>49.57424374999998</v>
      </c>
      <c r="V19" s="148"/>
      <c r="W19" s="205">
        <f t="shared" si="14"/>
        <v>134.08281249999999</v>
      </c>
      <c r="X19" s="205">
        <f t="shared" si="16"/>
        <v>111.19934583333338</v>
      </c>
      <c r="Y19" s="205">
        <f t="shared" si="15"/>
        <v>-22.883466666666607</v>
      </c>
      <c r="Z19" s="205">
        <v>10</v>
      </c>
      <c r="AA19" s="204">
        <f t="shared" si="11"/>
        <v>44.694270833333356</v>
      </c>
      <c r="AB19" s="204">
        <f t="shared" si="12"/>
        <v>66.505075000000005</v>
      </c>
      <c r="AC19" s="204">
        <f t="shared" si="13"/>
        <v>49.57424374999998</v>
      </c>
      <c r="AD19" s="205"/>
      <c r="AE19" s="148"/>
      <c r="AF19" s="148"/>
      <c r="AG19" s="148"/>
      <c r="AH19" s="148"/>
      <c r="AI19" s="148"/>
    </row>
    <row r="20" spans="2:35" x14ac:dyDescent="0.2">
      <c r="B20" s="149">
        <v>10</v>
      </c>
      <c r="C20" s="150" t="s">
        <v>2</v>
      </c>
      <c r="D20" s="151">
        <v>11</v>
      </c>
      <c r="E20" s="152">
        <f t="shared" si="6"/>
        <v>17.162600000000001</v>
      </c>
      <c r="F20" s="194">
        <v>8</v>
      </c>
      <c r="G20" s="153">
        <f t="shared" si="0"/>
        <v>17.162600000000001</v>
      </c>
      <c r="H20" s="197">
        <v>5</v>
      </c>
      <c r="I20" s="153">
        <f t="shared" si="1"/>
        <v>0</v>
      </c>
      <c r="J20" s="197">
        <v>7</v>
      </c>
      <c r="K20" s="153">
        <f t="shared" si="2"/>
        <v>0</v>
      </c>
      <c r="L20" s="197">
        <v>20</v>
      </c>
      <c r="M20" s="153">
        <f t="shared" si="3"/>
        <v>0</v>
      </c>
      <c r="N20" s="197">
        <v>0</v>
      </c>
      <c r="O20" s="154">
        <f t="shared" si="4"/>
        <v>0</v>
      </c>
      <c r="P20" s="149"/>
      <c r="Q20" s="155">
        <f t="shared" si="5"/>
        <v>4.4694270833333354</v>
      </c>
      <c r="R20" s="156">
        <f t="shared" si="7"/>
        <v>21.632027083333337</v>
      </c>
      <c r="S20" s="157">
        <f t="shared" si="8"/>
        <v>1</v>
      </c>
      <c r="T20" s="153">
        <f t="shared" si="9"/>
        <v>20</v>
      </c>
      <c r="U20" s="154">
        <f t="shared" si="10"/>
        <v>47.942216666666639</v>
      </c>
      <c r="V20" s="148"/>
      <c r="W20" s="205">
        <f t="shared" si="14"/>
        <v>147.49109374999998</v>
      </c>
      <c r="X20" s="205">
        <f t="shared" si="16"/>
        <v>132.83137291666671</v>
      </c>
      <c r="Y20" s="205">
        <f t="shared" si="15"/>
        <v>-14.659720833333267</v>
      </c>
      <c r="Z20" s="205">
        <v>11</v>
      </c>
      <c r="AA20" s="204">
        <f t="shared" si="11"/>
        <v>49.163697916666692</v>
      </c>
      <c r="AB20" s="204">
        <f t="shared" si="12"/>
        <v>83.667675000000003</v>
      </c>
      <c r="AC20" s="204">
        <f t="shared" si="13"/>
        <v>47.942216666666639</v>
      </c>
      <c r="AD20" s="205"/>
      <c r="AE20" s="148"/>
      <c r="AF20" s="148"/>
      <c r="AG20" s="148"/>
      <c r="AH20" s="148"/>
      <c r="AI20" s="148"/>
    </row>
    <row r="21" spans="2:35" x14ac:dyDescent="0.2">
      <c r="B21" s="149">
        <v>11</v>
      </c>
      <c r="C21" s="150" t="s">
        <v>2</v>
      </c>
      <c r="D21" s="151">
        <v>12</v>
      </c>
      <c r="E21" s="152">
        <f t="shared" si="6"/>
        <v>12.871950000000002</v>
      </c>
      <c r="F21" s="194">
        <v>6</v>
      </c>
      <c r="G21" s="153">
        <f t="shared" si="0"/>
        <v>12.871950000000002</v>
      </c>
      <c r="H21" s="197">
        <v>10</v>
      </c>
      <c r="I21" s="153">
        <f t="shared" si="1"/>
        <v>0</v>
      </c>
      <c r="J21" s="197">
        <v>16</v>
      </c>
      <c r="K21" s="153">
        <f t="shared" si="2"/>
        <v>0</v>
      </c>
      <c r="L21" s="197">
        <v>20</v>
      </c>
      <c r="M21" s="153">
        <f t="shared" si="3"/>
        <v>0</v>
      </c>
      <c r="N21" s="197">
        <v>20</v>
      </c>
      <c r="O21" s="154">
        <f t="shared" si="4"/>
        <v>0</v>
      </c>
      <c r="P21" s="149"/>
      <c r="Q21" s="155">
        <f t="shared" si="5"/>
        <v>4.4694270833333354</v>
      </c>
      <c r="R21" s="156">
        <f t="shared" si="7"/>
        <v>17.341377083333338</v>
      </c>
      <c r="S21" s="157">
        <f t="shared" si="8"/>
        <v>1</v>
      </c>
      <c r="T21" s="153">
        <f t="shared" si="9"/>
        <v>20</v>
      </c>
      <c r="U21" s="154">
        <f t="shared" si="10"/>
        <v>50.600839583333297</v>
      </c>
      <c r="V21" s="148"/>
      <c r="W21" s="205">
        <f t="shared" si="14"/>
        <v>160.89937499999996</v>
      </c>
      <c r="X21" s="205">
        <f t="shared" si="16"/>
        <v>150.17275000000004</v>
      </c>
      <c r="Y21" s="205">
        <f t="shared" si="15"/>
        <v>-10.726624999999927</v>
      </c>
      <c r="Z21" s="205">
        <v>12</v>
      </c>
      <c r="AA21" s="204">
        <f t="shared" si="11"/>
        <v>53.633125000000028</v>
      </c>
      <c r="AB21" s="204">
        <f t="shared" si="12"/>
        <v>96.539625000000001</v>
      </c>
      <c r="AC21" s="204">
        <f t="shared" si="13"/>
        <v>50.600839583333297</v>
      </c>
      <c r="AD21" s="205"/>
      <c r="AE21" s="148"/>
      <c r="AF21" s="148"/>
      <c r="AG21" s="148"/>
      <c r="AH21" s="148"/>
      <c r="AI21" s="148"/>
    </row>
    <row r="22" spans="2:35" x14ac:dyDescent="0.2">
      <c r="B22" s="149">
        <v>12</v>
      </c>
      <c r="C22" s="150" t="s">
        <v>2</v>
      </c>
      <c r="D22" s="151">
        <v>13</v>
      </c>
      <c r="E22" s="152">
        <f t="shared" si="6"/>
        <v>8.5813000000000006</v>
      </c>
      <c r="F22" s="194">
        <v>4</v>
      </c>
      <c r="G22" s="153">
        <f t="shared" si="0"/>
        <v>8.5813000000000006</v>
      </c>
      <c r="H22" s="197">
        <v>8</v>
      </c>
      <c r="I22" s="153">
        <f t="shared" si="1"/>
        <v>0</v>
      </c>
      <c r="J22" s="197">
        <v>15</v>
      </c>
      <c r="K22" s="153">
        <f t="shared" si="2"/>
        <v>0</v>
      </c>
      <c r="L22" s="197">
        <v>20</v>
      </c>
      <c r="M22" s="153">
        <f t="shared" si="3"/>
        <v>0</v>
      </c>
      <c r="N22" s="197">
        <v>20</v>
      </c>
      <c r="O22" s="154">
        <f t="shared" si="4"/>
        <v>0</v>
      </c>
      <c r="P22" s="149"/>
      <c r="Q22" s="155">
        <f t="shared" si="5"/>
        <v>4.4694270833333354</v>
      </c>
      <c r="R22" s="156">
        <f t="shared" si="7"/>
        <v>13.050727083333335</v>
      </c>
      <c r="S22" s="157">
        <f t="shared" si="8"/>
        <v>0.73874437500000245</v>
      </c>
      <c r="T22" s="153">
        <f t="shared" si="9"/>
        <v>14.774887500000048</v>
      </c>
      <c r="U22" s="154">
        <f t="shared" si="10"/>
        <v>52.32500000000001</v>
      </c>
      <c r="V22" s="148"/>
      <c r="W22" s="205">
        <f t="shared" si="14"/>
        <v>174.30765624999995</v>
      </c>
      <c r="X22" s="205">
        <f t="shared" si="16"/>
        <v>163.22347708333336</v>
      </c>
      <c r="Y22" s="205">
        <f t="shared" si="15"/>
        <v>-11.084179166666587</v>
      </c>
      <c r="Z22" s="205">
        <v>13</v>
      </c>
      <c r="AA22" s="204">
        <f t="shared" si="11"/>
        <v>58.102552083333364</v>
      </c>
      <c r="AB22" s="204">
        <f t="shared" si="12"/>
        <v>105.120925</v>
      </c>
      <c r="AC22" s="204">
        <f t="shared" si="13"/>
        <v>52.32500000000001</v>
      </c>
      <c r="AD22" s="205"/>
      <c r="AE22" s="148"/>
      <c r="AF22" s="148"/>
      <c r="AG22" s="148"/>
      <c r="AH22" s="148"/>
      <c r="AI22" s="148"/>
    </row>
    <row r="23" spans="2:35" x14ac:dyDescent="0.2">
      <c r="B23" s="149">
        <v>13</v>
      </c>
      <c r="C23" s="150" t="s">
        <v>2</v>
      </c>
      <c r="D23" s="151">
        <v>14</v>
      </c>
      <c r="E23" s="152">
        <f t="shared" si="6"/>
        <v>4.2906500000000003</v>
      </c>
      <c r="F23" s="194">
        <v>2</v>
      </c>
      <c r="G23" s="153">
        <f t="shared" si="0"/>
        <v>4.2906500000000003</v>
      </c>
      <c r="H23" s="197">
        <v>4</v>
      </c>
      <c r="I23" s="153">
        <f t="shared" si="1"/>
        <v>0</v>
      </c>
      <c r="J23" s="197">
        <v>7</v>
      </c>
      <c r="K23" s="153">
        <f t="shared" si="2"/>
        <v>0</v>
      </c>
      <c r="L23" s="197">
        <v>0</v>
      </c>
      <c r="M23" s="153">
        <f t="shared" si="3"/>
        <v>0</v>
      </c>
      <c r="N23" s="197">
        <v>20</v>
      </c>
      <c r="O23" s="154">
        <f t="shared" si="4"/>
        <v>0</v>
      </c>
      <c r="P23" s="149"/>
      <c r="Q23" s="155">
        <f t="shared" si="5"/>
        <v>4.4694270833333354</v>
      </c>
      <c r="R23" s="156">
        <f t="shared" si="7"/>
        <v>8.7600770833333357</v>
      </c>
      <c r="S23" s="157">
        <f t="shared" si="8"/>
        <v>0.43800385416666643</v>
      </c>
      <c r="T23" s="153">
        <f t="shared" si="9"/>
        <v>8.7600770833333286</v>
      </c>
      <c r="U23" s="154">
        <f t="shared" si="10"/>
        <v>52.325000000000003</v>
      </c>
      <c r="V23" s="148"/>
      <c r="W23" s="205">
        <f t="shared" si="14"/>
        <v>187.71593749999994</v>
      </c>
      <c r="X23" s="205">
        <f t="shared" si="16"/>
        <v>171.98355416666669</v>
      </c>
      <c r="Y23" s="205">
        <f t="shared" si="15"/>
        <v>-15.732383333333246</v>
      </c>
      <c r="Z23" s="205">
        <v>14</v>
      </c>
      <c r="AA23" s="204">
        <f t="shared" si="11"/>
        <v>62.571979166666701</v>
      </c>
      <c r="AB23" s="204">
        <f t="shared" si="12"/>
        <v>109.411575</v>
      </c>
      <c r="AC23" s="204">
        <f t="shared" si="13"/>
        <v>52.325000000000003</v>
      </c>
      <c r="AD23" s="205"/>
      <c r="AE23" s="148"/>
      <c r="AF23" s="148"/>
      <c r="AG23" s="148"/>
      <c r="AH23" s="148"/>
      <c r="AI23" s="148"/>
    </row>
    <row r="24" spans="2:35" x14ac:dyDescent="0.2">
      <c r="B24" s="149">
        <v>14</v>
      </c>
      <c r="C24" s="150" t="s">
        <v>2</v>
      </c>
      <c r="D24" s="151">
        <v>15</v>
      </c>
      <c r="E24" s="152">
        <f t="shared" si="6"/>
        <v>4.2906500000000003</v>
      </c>
      <c r="F24" s="194">
        <v>2</v>
      </c>
      <c r="G24" s="153">
        <f t="shared" si="0"/>
        <v>4.2906500000000003</v>
      </c>
      <c r="H24" s="197">
        <v>4</v>
      </c>
      <c r="I24" s="153">
        <f t="shared" si="1"/>
        <v>0</v>
      </c>
      <c r="J24" s="197">
        <v>5</v>
      </c>
      <c r="K24" s="153">
        <f t="shared" si="2"/>
        <v>0</v>
      </c>
      <c r="L24" s="197">
        <v>0</v>
      </c>
      <c r="M24" s="153">
        <f t="shared" si="3"/>
        <v>0</v>
      </c>
      <c r="N24" s="197">
        <v>20</v>
      </c>
      <c r="O24" s="154">
        <f t="shared" si="4"/>
        <v>0</v>
      </c>
      <c r="P24" s="149"/>
      <c r="Q24" s="155">
        <f t="shared" si="5"/>
        <v>4.4694270833333354</v>
      </c>
      <c r="R24" s="156">
        <f t="shared" si="7"/>
        <v>8.7600770833333357</v>
      </c>
      <c r="S24" s="157">
        <f t="shared" si="8"/>
        <v>0.43800385416666676</v>
      </c>
      <c r="T24" s="153">
        <f t="shared" si="9"/>
        <v>8.7600770833333357</v>
      </c>
      <c r="U24" s="154">
        <f t="shared" si="10"/>
        <v>52.325000000000003</v>
      </c>
      <c r="V24" s="148"/>
      <c r="W24" s="205">
        <f t="shared" si="14"/>
        <v>201.12421874999993</v>
      </c>
      <c r="X24" s="205">
        <f t="shared" si="16"/>
        <v>180.74363125000002</v>
      </c>
      <c r="Y24" s="205">
        <f t="shared" si="15"/>
        <v>-20.380587499999905</v>
      </c>
      <c r="Z24" s="205">
        <v>15</v>
      </c>
      <c r="AA24" s="204">
        <f t="shared" si="11"/>
        <v>67.041406250000037</v>
      </c>
      <c r="AB24" s="204">
        <f t="shared" si="12"/>
        <v>113.702225</v>
      </c>
      <c r="AC24" s="204">
        <f t="shared" si="13"/>
        <v>52.325000000000003</v>
      </c>
      <c r="AD24" s="205"/>
      <c r="AE24" s="148"/>
      <c r="AF24" s="148"/>
      <c r="AG24" s="148"/>
      <c r="AH24" s="148"/>
      <c r="AI24" s="148"/>
    </row>
    <row r="25" spans="2:35" x14ac:dyDescent="0.2">
      <c r="B25" s="149">
        <v>15</v>
      </c>
      <c r="C25" s="150" t="s">
        <v>2</v>
      </c>
      <c r="D25" s="151">
        <v>16</v>
      </c>
      <c r="E25" s="152">
        <f t="shared" si="6"/>
        <v>6.4359750000000009</v>
      </c>
      <c r="F25" s="194">
        <v>3</v>
      </c>
      <c r="G25" s="153">
        <f t="shared" si="0"/>
        <v>6.4359750000000009</v>
      </c>
      <c r="H25" s="197">
        <v>8</v>
      </c>
      <c r="I25" s="153">
        <f t="shared" si="1"/>
        <v>0</v>
      </c>
      <c r="J25" s="197">
        <v>4</v>
      </c>
      <c r="K25" s="153">
        <f t="shared" si="2"/>
        <v>0</v>
      </c>
      <c r="L25" s="197">
        <v>0</v>
      </c>
      <c r="M25" s="153">
        <f t="shared" si="3"/>
        <v>0</v>
      </c>
      <c r="N25" s="197">
        <v>20</v>
      </c>
      <c r="O25" s="154">
        <f t="shared" si="4"/>
        <v>0</v>
      </c>
      <c r="P25" s="149"/>
      <c r="Q25" s="155">
        <f t="shared" si="5"/>
        <v>4.4694270833333354</v>
      </c>
      <c r="R25" s="156">
        <f t="shared" si="7"/>
        <v>10.905402083333335</v>
      </c>
      <c r="S25" s="157">
        <f t="shared" si="8"/>
        <v>0.54527010416666677</v>
      </c>
      <c r="T25" s="153">
        <f t="shared" si="9"/>
        <v>10.905402083333335</v>
      </c>
      <c r="U25" s="154">
        <f t="shared" si="10"/>
        <v>52.325000000000003</v>
      </c>
      <c r="V25" s="148"/>
      <c r="W25" s="205">
        <f t="shared" si="14"/>
        <v>214.53249999999991</v>
      </c>
      <c r="X25" s="205">
        <f>X24+R25</f>
        <v>191.64903333333336</v>
      </c>
      <c r="Y25" s="205">
        <f t="shared" si="15"/>
        <v>-22.88346666666655</v>
      </c>
      <c r="Z25" s="205">
        <v>16</v>
      </c>
      <c r="AA25" s="204">
        <f t="shared" si="11"/>
        <v>71.510833333333366</v>
      </c>
      <c r="AB25" s="204">
        <f t="shared" si="12"/>
        <v>120.1382</v>
      </c>
      <c r="AC25" s="204">
        <f t="shared" si="13"/>
        <v>52.325000000000003</v>
      </c>
      <c r="AD25" s="205"/>
      <c r="AE25" s="148"/>
      <c r="AF25" s="148"/>
      <c r="AG25" s="148"/>
      <c r="AH25" s="148"/>
      <c r="AI25" s="148"/>
    </row>
    <row r="26" spans="2:35" x14ac:dyDescent="0.2">
      <c r="B26" s="149">
        <v>16</v>
      </c>
      <c r="C26" s="150" t="s">
        <v>2</v>
      </c>
      <c r="D26" s="151">
        <v>17</v>
      </c>
      <c r="E26" s="152">
        <f t="shared" si="6"/>
        <v>12.871950000000002</v>
      </c>
      <c r="F26" s="194">
        <v>6</v>
      </c>
      <c r="G26" s="153">
        <f t="shared" si="0"/>
        <v>12.871950000000002</v>
      </c>
      <c r="H26" s="197">
        <v>25</v>
      </c>
      <c r="I26" s="153">
        <f t="shared" si="1"/>
        <v>0</v>
      </c>
      <c r="J26" s="197">
        <v>4</v>
      </c>
      <c r="K26" s="153">
        <f t="shared" si="2"/>
        <v>0</v>
      </c>
      <c r="L26" s="197">
        <v>0</v>
      </c>
      <c r="M26" s="153">
        <f t="shared" si="3"/>
        <v>0</v>
      </c>
      <c r="N26" s="197">
        <v>0</v>
      </c>
      <c r="O26" s="154">
        <f t="shared" si="4"/>
        <v>0</v>
      </c>
      <c r="P26" s="149"/>
      <c r="Q26" s="155">
        <f t="shared" si="5"/>
        <v>4.4694270833333354</v>
      </c>
      <c r="R26" s="156">
        <f t="shared" si="7"/>
        <v>17.341377083333338</v>
      </c>
      <c r="S26" s="157">
        <f t="shared" si="8"/>
        <v>0.86706885416666712</v>
      </c>
      <c r="T26" s="153">
        <f t="shared" si="9"/>
        <v>17.341377083333342</v>
      </c>
      <c r="U26" s="154">
        <f t="shared" si="10"/>
        <v>52.325000000000003</v>
      </c>
      <c r="V26" s="148"/>
      <c r="W26" s="205">
        <f t="shared" si="14"/>
        <v>227.9407812499999</v>
      </c>
      <c r="X26" s="205">
        <f t="shared" si="16"/>
        <v>208.99041041666669</v>
      </c>
      <c r="Y26" s="205">
        <f t="shared" si="15"/>
        <v>-18.95037083333321</v>
      </c>
      <c r="Z26" s="205">
        <v>17</v>
      </c>
      <c r="AA26" s="204">
        <f t="shared" si="11"/>
        <v>75.980260416666695</v>
      </c>
      <c r="AB26" s="204">
        <f t="shared" si="12"/>
        <v>133.01015000000001</v>
      </c>
      <c r="AC26" s="204">
        <f t="shared" si="13"/>
        <v>52.325000000000003</v>
      </c>
      <c r="AD26" s="205"/>
      <c r="AE26" s="148"/>
      <c r="AF26" s="148"/>
      <c r="AG26" s="148"/>
      <c r="AH26" s="148"/>
      <c r="AI26" s="148"/>
    </row>
    <row r="27" spans="2:35" x14ac:dyDescent="0.2">
      <c r="B27" s="149">
        <v>17</v>
      </c>
      <c r="C27" s="150" t="s">
        <v>2</v>
      </c>
      <c r="D27" s="151">
        <v>18</v>
      </c>
      <c r="E27" s="152">
        <f t="shared" si="6"/>
        <v>32.179875000000003</v>
      </c>
      <c r="F27" s="194">
        <v>15</v>
      </c>
      <c r="G27" s="153">
        <f t="shared" si="0"/>
        <v>32.179875000000003</v>
      </c>
      <c r="H27" s="197">
        <v>8</v>
      </c>
      <c r="I27" s="153">
        <f t="shared" si="1"/>
        <v>0</v>
      </c>
      <c r="J27" s="197">
        <v>5</v>
      </c>
      <c r="K27" s="153">
        <f t="shared" si="2"/>
        <v>0</v>
      </c>
      <c r="L27" s="197">
        <v>0</v>
      </c>
      <c r="M27" s="153">
        <f t="shared" si="3"/>
        <v>0</v>
      </c>
      <c r="N27" s="197">
        <v>0</v>
      </c>
      <c r="O27" s="154">
        <f t="shared" si="4"/>
        <v>0</v>
      </c>
      <c r="P27" s="149"/>
      <c r="Q27" s="155">
        <f t="shared" si="5"/>
        <v>4.4694270833333354</v>
      </c>
      <c r="R27" s="156">
        <f t="shared" si="7"/>
        <v>36.649302083333339</v>
      </c>
      <c r="S27" s="157">
        <f t="shared" si="8"/>
        <v>1</v>
      </c>
      <c r="T27" s="153">
        <f t="shared" si="9"/>
        <v>20</v>
      </c>
      <c r="U27" s="154">
        <f t="shared" si="10"/>
        <v>35.675697916666664</v>
      </c>
      <c r="V27" s="148"/>
      <c r="W27" s="205">
        <f t="shared" si="14"/>
        <v>241.34906249999989</v>
      </c>
      <c r="X27" s="205">
        <f t="shared" si="16"/>
        <v>245.63971250000003</v>
      </c>
      <c r="Y27" s="205">
        <f t="shared" si="15"/>
        <v>4.2906500000001415</v>
      </c>
      <c r="Z27" s="205">
        <v>18</v>
      </c>
      <c r="AA27" s="204">
        <f t="shared" si="11"/>
        <v>80.449687500000024</v>
      </c>
      <c r="AB27" s="204">
        <f t="shared" si="12"/>
        <v>165.19002500000002</v>
      </c>
      <c r="AC27" s="204">
        <f t="shared" si="13"/>
        <v>35.675697916666664</v>
      </c>
      <c r="AD27" s="205"/>
      <c r="AE27" s="148"/>
      <c r="AF27" s="148"/>
      <c r="AG27" s="148"/>
      <c r="AH27" s="148"/>
      <c r="AI27" s="148"/>
    </row>
    <row r="28" spans="2:35" x14ac:dyDescent="0.2">
      <c r="B28" s="149">
        <v>18</v>
      </c>
      <c r="C28" s="150" t="s">
        <v>2</v>
      </c>
      <c r="D28" s="151">
        <v>19</v>
      </c>
      <c r="E28" s="152">
        <f t="shared" si="6"/>
        <v>19.307925000000001</v>
      </c>
      <c r="F28" s="194">
        <v>9</v>
      </c>
      <c r="G28" s="153">
        <f t="shared" si="0"/>
        <v>19.307925000000001</v>
      </c>
      <c r="H28" s="197">
        <v>3</v>
      </c>
      <c r="I28" s="153">
        <f t="shared" si="1"/>
        <v>0</v>
      </c>
      <c r="J28" s="197">
        <v>6</v>
      </c>
      <c r="K28" s="153">
        <f t="shared" si="2"/>
        <v>0</v>
      </c>
      <c r="L28" s="197">
        <v>0</v>
      </c>
      <c r="M28" s="153">
        <f t="shared" si="3"/>
        <v>0</v>
      </c>
      <c r="N28" s="197">
        <v>0</v>
      </c>
      <c r="O28" s="154">
        <f t="shared" si="4"/>
        <v>0</v>
      </c>
      <c r="P28" s="149"/>
      <c r="Q28" s="155">
        <f t="shared" si="5"/>
        <v>4.4694270833333354</v>
      </c>
      <c r="R28" s="156">
        <f t="shared" si="7"/>
        <v>23.777352083333337</v>
      </c>
      <c r="S28" s="157">
        <f t="shared" si="8"/>
        <v>1</v>
      </c>
      <c r="T28" s="153">
        <f t="shared" si="9"/>
        <v>20</v>
      </c>
      <c r="U28" s="154">
        <f t="shared" si="10"/>
        <v>31.898345833333327</v>
      </c>
      <c r="V28" s="148"/>
      <c r="W28" s="205">
        <f t="shared" si="14"/>
        <v>254.75734374999988</v>
      </c>
      <c r="X28" s="205">
        <f t="shared" si="16"/>
        <v>269.41706458333334</v>
      </c>
      <c r="Y28" s="205">
        <f t="shared" si="15"/>
        <v>14.659720833333466</v>
      </c>
      <c r="Z28" s="205">
        <v>19</v>
      </c>
      <c r="AA28" s="204">
        <f t="shared" si="11"/>
        <v>84.919114583333354</v>
      </c>
      <c r="AB28" s="204">
        <f t="shared" si="12"/>
        <v>184.49795000000003</v>
      </c>
      <c r="AC28" s="204">
        <f t="shared" si="13"/>
        <v>31.898345833333327</v>
      </c>
      <c r="AD28" s="205"/>
      <c r="AE28" s="148"/>
      <c r="AF28" s="148"/>
      <c r="AG28" s="148"/>
      <c r="AH28" s="148"/>
      <c r="AI28" s="148"/>
    </row>
    <row r="29" spans="2:35" x14ac:dyDescent="0.2">
      <c r="B29" s="149">
        <v>19</v>
      </c>
      <c r="C29" s="150" t="s">
        <v>2</v>
      </c>
      <c r="D29" s="151">
        <v>20</v>
      </c>
      <c r="E29" s="152">
        <f t="shared" si="6"/>
        <v>15.017275000000003</v>
      </c>
      <c r="F29" s="194">
        <v>7</v>
      </c>
      <c r="G29" s="153">
        <f t="shared" si="0"/>
        <v>15.017275000000003</v>
      </c>
      <c r="H29" s="197">
        <v>1</v>
      </c>
      <c r="I29" s="153">
        <f t="shared" si="1"/>
        <v>0</v>
      </c>
      <c r="J29" s="197">
        <v>7</v>
      </c>
      <c r="K29" s="153">
        <f t="shared" si="2"/>
        <v>0</v>
      </c>
      <c r="L29" s="197">
        <v>0</v>
      </c>
      <c r="M29" s="153">
        <f t="shared" si="3"/>
        <v>0</v>
      </c>
      <c r="N29" s="197">
        <v>0</v>
      </c>
      <c r="O29" s="154">
        <f t="shared" si="4"/>
        <v>0</v>
      </c>
      <c r="P29" s="149"/>
      <c r="Q29" s="155">
        <f t="shared" si="5"/>
        <v>4.4694270833333354</v>
      </c>
      <c r="R29" s="156">
        <f t="shared" si="7"/>
        <v>19.486702083333338</v>
      </c>
      <c r="S29" s="157">
        <f t="shared" si="8"/>
        <v>1</v>
      </c>
      <c r="T29" s="153">
        <f t="shared" si="9"/>
        <v>20</v>
      </c>
      <c r="U29" s="154">
        <f t="shared" si="10"/>
        <v>32.411643749999982</v>
      </c>
      <c r="V29" s="148"/>
      <c r="W29" s="205">
        <f t="shared" si="14"/>
        <v>268.16562499999986</v>
      </c>
      <c r="X29" s="205">
        <f t="shared" si="16"/>
        <v>288.90376666666668</v>
      </c>
      <c r="Y29" s="205">
        <f t="shared" si="15"/>
        <v>20.73814166666682</v>
      </c>
      <c r="Z29" s="205">
        <v>20</v>
      </c>
      <c r="AA29" s="204">
        <f t="shared" si="11"/>
        <v>89.388541666666683</v>
      </c>
      <c r="AB29" s="204">
        <f t="shared" si="12"/>
        <v>199.51522500000004</v>
      </c>
      <c r="AC29" s="204">
        <f t="shared" si="13"/>
        <v>32.411643749999982</v>
      </c>
      <c r="AD29" s="205"/>
      <c r="AE29" s="148"/>
      <c r="AF29" s="148"/>
      <c r="AG29" s="148"/>
      <c r="AH29" s="148"/>
      <c r="AI29" s="148"/>
    </row>
    <row r="30" spans="2:35" x14ac:dyDescent="0.2">
      <c r="B30" s="149">
        <v>20</v>
      </c>
      <c r="C30" s="150" t="s">
        <v>2</v>
      </c>
      <c r="D30" s="151">
        <v>21</v>
      </c>
      <c r="E30" s="152">
        <f t="shared" si="6"/>
        <v>6.4359750000000009</v>
      </c>
      <c r="F30" s="194">
        <v>3</v>
      </c>
      <c r="G30" s="153">
        <f t="shared" si="0"/>
        <v>6.4359750000000009</v>
      </c>
      <c r="H30" s="197">
        <v>0</v>
      </c>
      <c r="I30" s="153">
        <f t="shared" si="1"/>
        <v>0</v>
      </c>
      <c r="J30" s="197">
        <v>7</v>
      </c>
      <c r="K30" s="153">
        <f t="shared" si="2"/>
        <v>0</v>
      </c>
      <c r="L30" s="197">
        <v>0</v>
      </c>
      <c r="M30" s="153">
        <f t="shared" si="3"/>
        <v>0</v>
      </c>
      <c r="N30" s="197">
        <v>0</v>
      </c>
      <c r="O30" s="154">
        <f t="shared" si="4"/>
        <v>0</v>
      </c>
      <c r="P30" s="149"/>
      <c r="Q30" s="155">
        <f t="shared" si="5"/>
        <v>4.4694270833333354</v>
      </c>
      <c r="R30" s="156">
        <f t="shared" si="7"/>
        <v>10.905402083333335</v>
      </c>
      <c r="S30" s="157">
        <f t="shared" si="8"/>
        <v>1</v>
      </c>
      <c r="T30" s="153">
        <f t="shared" si="9"/>
        <v>20</v>
      </c>
      <c r="U30" s="154">
        <f t="shared" si="10"/>
        <v>41.506241666666646</v>
      </c>
      <c r="V30" s="148"/>
      <c r="W30" s="205">
        <f t="shared" si="14"/>
        <v>281.57390624999988</v>
      </c>
      <c r="X30" s="205">
        <f t="shared" si="16"/>
        <v>299.80916875000003</v>
      </c>
      <c r="Y30" s="205">
        <f t="shared" si="15"/>
        <v>18.235262500000147</v>
      </c>
      <c r="Z30" s="205">
        <v>21</v>
      </c>
      <c r="AA30" s="204">
        <f t="shared" si="11"/>
        <v>93.857968750000012</v>
      </c>
      <c r="AB30" s="204">
        <f t="shared" si="12"/>
        <v>205.95120000000006</v>
      </c>
      <c r="AC30" s="204">
        <f t="shared" si="13"/>
        <v>41.506241666666646</v>
      </c>
      <c r="AD30" s="205"/>
      <c r="AE30" s="148"/>
      <c r="AF30" s="148"/>
      <c r="AG30" s="148"/>
      <c r="AH30" s="148"/>
      <c r="AI30" s="148"/>
    </row>
    <row r="31" spans="2:35" x14ac:dyDescent="0.2">
      <c r="B31" s="149">
        <v>21</v>
      </c>
      <c r="C31" s="150" t="s">
        <v>2</v>
      </c>
      <c r="D31" s="151">
        <v>22</v>
      </c>
      <c r="E31" s="152">
        <f t="shared" si="6"/>
        <v>4.2906500000000003</v>
      </c>
      <c r="F31" s="194">
        <v>2</v>
      </c>
      <c r="G31" s="153">
        <f t="shared" si="0"/>
        <v>4.2906500000000003</v>
      </c>
      <c r="H31" s="197">
        <v>0</v>
      </c>
      <c r="I31" s="153">
        <f t="shared" si="1"/>
        <v>0</v>
      </c>
      <c r="J31" s="197">
        <v>3</v>
      </c>
      <c r="K31" s="153">
        <f t="shared" si="2"/>
        <v>0</v>
      </c>
      <c r="L31" s="197">
        <v>0</v>
      </c>
      <c r="M31" s="153">
        <f t="shared" si="3"/>
        <v>0</v>
      </c>
      <c r="N31" s="197">
        <v>0</v>
      </c>
      <c r="O31" s="154">
        <f t="shared" si="4"/>
        <v>0</v>
      </c>
      <c r="P31" s="149"/>
      <c r="Q31" s="155">
        <f t="shared" si="5"/>
        <v>4.4694270833333354</v>
      </c>
      <c r="R31" s="156">
        <f t="shared" si="7"/>
        <v>8.7600770833333357</v>
      </c>
      <c r="S31" s="157">
        <f t="shared" si="8"/>
        <v>0.97894177083333456</v>
      </c>
      <c r="T31" s="153">
        <f t="shared" si="9"/>
        <v>19.578835416666692</v>
      </c>
      <c r="U31" s="154">
        <f t="shared" si="10"/>
        <v>52.325000000000003</v>
      </c>
      <c r="V31" s="148"/>
      <c r="W31" s="205">
        <f t="shared" si="14"/>
        <v>294.9821874999999</v>
      </c>
      <c r="X31" s="205">
        <f t="shared" si="16"/>
        <v>308.56924583333335</v>
      </c>
      <c r="Y31" s="205">
        <f t="shared" si="15"/>
        <v>13.587058333333459</v>
      </c>
      <c r="Z31" s="205">
        <v>22</v>
      </c>
      <c r="AA31" s="204">
        <f t="shared" si="11"/>
        <v>98.327395833333341</v>
      </c>
      <c r="AB31" s="204">
        <f t="shared" si="12"/>
        <v>210.24185000000006</v>
      </c>
      <c r="AC31" s="204">
        <f t="shared" si="13"/>
        <v>52.325000000000003</v>
      </c>
      <c r="AD31" s="205"/>
      <c r="AE31" s="148"/>
      <c r="AF31" s="148"/>
      <c r="AG31" s="148"/>
      <c r="AH31" s="148"/>
      <c r="AI31" s="148"/>
    </row>
    <row r="32" spans="2:35" x14ac:dyDescent="0.2">
      <c r="B32" s="149">
        <v>22</v>
      </c>
      <c r="C32" s="150" t="s">
        <v>2</v>
      </c>
      <c r="D32" s="151">
        <v>23</v>
      </c>
      <c r="E32" s="152">
        <f t="shared" si="6"/>
        <v>2.1453250000000001</v>
      </c>
      <c r="F32" s="194">
        <v>1</v>
      </c>
      <c r="G32" s="153">
        <f t="shared" si="0"/>
        <v>2.1453250000000001</v>
      </c>
      <c r="H32" s="197">
        <v>0</v>
      </c>
      <c r="I32" s="153">
        <f t="shared" si="1"/>
        <v>0</v>
      </c>
      <c r="J32" s="197">
        <v>1</v>
      </c>
      <c r="K32" s="153">
        <f t="shared" si="2"/>
        <v>0</v>
      </c>
      <c r="L32" s="197">
        <v>0</v>
      </c>
      <c r="M32" s="153">
        <f t="shared" si="3"/>
        <v>0</v>
      </c>
      <c r="N32" s="197">
        <v>0</v>
      </c>
      <c r="O32" s="154">
        <f t="shared" si="4"/>
        <v>0</v>
      </c>
      <c r="P32" s="149"/>
      <c r="Q32" s="155">
        <f t="shared" si="5"/>
        <v>4.4694270833333354</v>
      </c>
      <c r="R32" s="156">
        <f t="shared" si="7"/>
        <v>6.614752083333336</v>
      </c>
      <c r="S32" s="157">
        <f t="shared" si="8"/>
        <v>0.33073760416666681</v>
      </c>
      <c r="T32" s="153">
        <f t="shared" si="9"/>
        <v>6.614752083333336</v>
      </c>
      <c r="U32" s="154">
        <f t="shared" si="10"/>
        <v>52.325000000000003</v>
      </c>
      <c r="V32" s="148"/>
      <c r="W32" s="205">
        <f t="shared" si="14"/>
        <v>308.39046874999991</v>
      </c>
      <c r="X32" s="205">
        <f t="shared" si="16"/>
        <v>315.18399791666667</v>
      </c>
      <c r="Y32" s="205">
        <f t="shared" si="15"/>
        <v>6.7935291666667581</v>
      </c>
      <c r="Z32" s="205">
        <v>23</v>
      </c>
      <c r="AA32" s="204">
        <f t="shared" si="11"/>
        <v>102.79682291666667</v>
      </c>
      <c r="AB32" s="204">
        <f t="shared" si="12"/>
        <v>212.38717500000007</v>
      </c>
      <c r="AC32" s="204">
        <f t="shared" si="13"/>
        <v>52.325000000000003</v>
      </c>
      <c r="AD32" s="205"/>
      <c r="AE32" s="148"/>
      <c r="AF32" s="148"/>
      <c r="AG32" s="148"/>
      <c r="AH32" s="148"/>
      <c r="AI32" s="148"/>
    </row>
    <row r="33" spans="2:30" ht="13.5" thickBot="1" x14ac:dyDescent="0.25">
      <c r="B33" s="158">
        <v>23</v>
      </c>
      <c r="C33" s="159" t="s">
        <v>2</v>
      </c>
      <c r="D33" s="160">
        <v>24</v>
      </c>
      <c r="E33" s="161">
        <f t="shared" si="6"/>
        <v>2.1453250000000001</v>
      </c>
      <c r="F33" s="195">
        <v>1</v>
      </c>
      <c r="G33" s="162">
        <f t="shared" si="0"/>
        <v>2.1453250000000001</v>
      </c>
      <c r="H33" s="198">
        <v>0</v>
      </c>
      <c r="I33" s="162">
        <f t="shared" si="1"/>
        <v>0</v>
      </c>
      <c r="J33" s="198">
        <v>1</v>
      </c>
      <c r="K33" s="162">
        <f t="shared" si="2"/>
        <v>0</v>
      </c>
      <c r="L33" s="198">
        <v>0</v>
      </c>
      <c r="M33" s="162">
        <f t="shared" si="3"/>
        <v>0</v>
      </c>
      <c r="N33" s="198">
        <v>0</v>
      </c>
      <c r="O33" s="163">
        <f t="shared" si="4"/>
        <v>0</v>
      </c>
      <c r="P33" s="164"/>
      <c r="Q33" s="165">
        <f t="shared" si="5"/>
        <v>4.4694270833333354</v>
      </c>
      <c r="R33" s="166">
        <f t="shared" si="7"/>
        <v>6.614752083333336</v>
      </c>
      <c r="S33" s="167">
        <f t="shared" si="8"/>
        <v>0.33073760416666681</v>
      </c>
      <c r="T33" s="162">
        <f t="shared" si="9"/>
        <v>6.614752083333336</v>
      </c>
      <c r="U33" s="163">
        <f t="shared" si="10"/>
        <v>52.325000000000003</v>
      </c>
      <c r="W33" s="205">
        <f t="shared" si="14"/>
        <v>321.79874999999993</v>
      </c>
      <c r="X33" s="205">
        <f t="shared" si="16"/>
        <v>321.79874999999998</v>
      </c>
      <c r="Y33" s="205">
        <f t="shared" si="15"/>
        <v>0</v>
      </c>
      <c r="Z33" s="205">
        <v>24</v>
      </c>
      <c r="AA33" s="204">
        <f t="shared" si="11"/>
        <v>107.26625</v>
      </c>
      <c r="AB33" s="204">
        <f t="shared" si="12"/>
        <v>214.53250000000008</v>
      </c>
      <c r="AC33" s="204">
        <f t="shared" si="13"/>
        <v>52.325000000000003</v>
      </c>
      <c r="AD33" s="206"/>
    </row>
    <row r="34" spans="2:30" x14ac:dyDescent="0.2">
      <c r="B34" s="168" t="s">
        <v>3</v>
      </c>
      <c r="C34" s="169"/>
      <c r="D34" s="170" t="s">
        <v>9</v>
      </c>
      <c r="E34" s="171"/>
      <c r="F34" s="172">
        <f>SUM(F10:F33)</f>
        <v>100</v>
      </c>
      <c r="G34" s="173"/>
      <c r="H34" s="174">
        <f>SUM(H10:H33)</f>
        <v>100</v>
      </c>
      <c r="I34" s="173"/>
      <c r="J34" s="174">
        <f>SUM(J10:J33)</f>
        <v>100</v>
      </c>
      <c r="K34" s="173"/>
      <c r="L34" s="174">
        <f>SUM(L10:L33)</f>
        <v>100</v>
      </c>
      <c r="M34" s="173"/>
      <c r="N34" s="174">
        <f>SUM(N10:N33)</f>
        <v>100</v>
      </c>
      <c r="O34" s="175"/>
      <c r="P34" s="176"/>
      <c r="Q34" s="177"/>
      <c r="R34" s="238">
        <f>SUM(R10:R33)</f>
        <v>321.79874999999998</v>
      </c>
      <c r="W34" s="206"/>
      <c r="X34" s="206"/>
      <c r="Y34" s="206"/>
      <c r="Z34" s="206"/>
      <c r="AA34" s="206"/>
      <c r="AB34" s="206"/>
      <c r="AC34" s="206"/>
      <c r="AD34" s="206"/>
    </row>
    <row r="35" spans="2:30" ht="12.75" customHeight="1" thickBot="1" x14ac:dyDescent="0.25">
      <c r="B35" s="178"/>
      <c r="C35" s="179"/>
      <c r="D35" s="180" t="s">
        <v>10</v>
      </c>
      <c r="E35" s="181">
        <f>SUM(E10:E33)</f>
        <v>214.53250000000008</v>
      </c>
      <c r="F35" s="219">
        <f>uzi</f>
        <v>214.53250000000003</v>
      </c>
      <c r="G35" s="223"/>
      <c r="H35" s="218">
        <f>per</f>
        <v>0</v>
      </c>
      <c r="I35" s="219"/>
      <c r="J35" s="218">
        <f>gas</f>
        <v>0</v>
      </c>
      <c r="K35" s="219"/>
      <c r="L35" s="218">
        <f>ukl</f>
        <v>0</v>
      </c>
      <c r="M35" s="219"/>
      <c r="N35" s="218">
        <f>ost</f>
        <v>0</v>
      </c>
      <c r="O35" s="233"/>
      <c r="P35" s="236">
        <f>SUM(Q10:Q33)</f>
        <v>107.26625</v>
      </c>
      <c r="Q35" s="237"/>
      <c r="R35" s="239"/>
      <c r="W35" s="206"/>
      <c r="X35" s="206" t="s">
        <v>62</v>
      </c>
      <c r="Y35" s="205">
        <f>MIN(Y10:Y33)</f>
        <v>-49.342474999999979</v>
      </c>
      <c r="Z35" s="205"/>
      <c r="AA35" s="206"/>
      <c r="AB35" s="206"/>
      <c r="AC35" s="206"/>
      <c r="AD35" s="206"/>
    </row>
    <row r="36" spans="2:30" x14ac:dyDescent="0.2">
      <c r="W36" s="206"/>
      <c r="X36" s="206" t="s">
        <v>63</v>
      </c>
      <c r="Y36" s="205">
        <f>MAX(Y10:Y33)</f>
        <v>20.73814166666682</v>
      </c>
      <c r="Z36" s="205"/>
      <c r="AA36" s="206"/>
      <c r="AB36" s="206"/>
      <c r="AC36" s="206"/>
      <c r="AD36" s="206"/>
    </row>
    <row r="37" spans="2:30" x14ac:dyDescent="0.2">
      <c r="C37" s="115" t="s">
        <v>105</v>
      </c>
      <c r="G37" s="199">
        <v>10</v>
      </c>
      <c r="H37" s="115" t="s">
        <v>107</v>
      </c>
      <c r="J37" s="115" t="s">
        <v>116</v>
      </c>
      <c r="N37" s="209">
        <v>20</v>
      </c>
      <c r="O37" s="115" t="s">
        <v>107</v>
      </c>
      <c r="W37" s="206"/>
      <c r="X37" s="206"/>
      <c r="Y37" s="205"/>
      <c r="Z37" s="205"/>
      <c r="AA37" s="206"/>
      <c r="AB37" s="206"/>
      <c r="AC37" s="206"/>
      <c r="AD37" s="206"/>
    </row>
    <row r="38" spans="2:30" x14ac:dyDescent="0.2">
      <c r="C38" s="115" t="s">
        <v>106</v>
      </c>
      <c r="G38" s="199">
        <v>55</v>
      </c>
      <c r="H38" s="115" t="s">
        <v>107</v>
      </c>
      <c r="J38" s="115" t="s">
        <v>113</v>
      </c>
      <c r="N38" s="209">
        <v>55</v>
      </c>
      <c r="O38" s="115" t="s">
        <v>107</v>
      </c>
      <c r="W38" s="206"/>
      <c r="X38" s="206"/>
      <c r="Y38" s="205">
        <f>Y36-Y35</f>
        <v>70.080616666666799</v>
      </c>
      <c r="Z38" s="205"/>
      <c r="AA38" s="206"/>
      <c r="AB38" s="206"/>
      <c r="AC38" s="206"/>
      <c r="AD38" s="206"/>
    </row>
    <row r="39" spans="2:30" x14ac:dyDescent="0.2">
      <c r="C39" s="115" t="s">
        <v>108</v>
      </c>
      <c r="G39" s="199">
        <v>55</v>
      </c>
      <c r="H39" s="115" t="s">
        <v>107</v>
      </c>
      <c r="J39" s="115" t="s">
        <v>115</v>
      </c>
      <c r="N39" s="209">
        <v>0.5</v>
      </c>
      <c r="O39" s="243">
        <f>((N38-N37)/(55-N37))</f>
        <v>1</v>
      </c>
      <c r="P39" s="243"/>
      <c r="Q39" s="115" t="s">
        <v>117</v>
      </c>
    </row>
    <row r="40" spans="2:30" x14ac:dyDescent="0.2">
      <c r="B40" s="115" t="s">
        <v>12</v>
      </c>
      <c r="J40" s="115" t="s">
        <v>114</v>
      </c>
      <c r="N40" s="208">
        <f>N39*O39</f>
        <v>0.5</v>
      </c>
      <c r="O40" s="211" t="s">
        <v>118</v>
      </c>
    </row>
    <row r="41" spans="2:30" x14ac:dyDescent="0.2">
      <c r="C41" s="115" t="s">
        <v>103</v>
      </c>
      <c r="G41" s="148">
        <f>spot/24</f>
        <v>13.40828125</v>
      </c>
      <c r="H41" s="115" t="s">
        <v>15</v>
      </c>
    </row>
    <row r="42" spans="2:30" ht="14.25" x14ac:dyDescent="0.2">
      <c r="C42" s="115" t="s">
        <v>14</v>
      </c>
      <c r="G42" s="182">
        <f>J42*3600/4186/45</f>
        <v>1.3393333333333357</v>
      </c>
      <c r="H42" s="115" t="s">
        <v>16</v>
      </c>
      <c r="I42" s="183" t="s">
        <v>54</v>
      </c>
      <c r="J42" s="148">
        <f>Y38</f>
        <v>70.080616666666799</v>
      </c>
      <c r="K42" s="115" t="s">
        <v>10</v>
      </c>
    </row>
    <row r="43" spans="2:30" x14ac:dyDescent="0.2">
      <c r="B43" s="115" t="s">
        <v>13</v>
      </c>
      <c r="I43" s="183"/>
    </row>
    <row r="44" spans="2:30" x14ac:dyDescent="0.2">
      <c r="C44" s="184" t="s">
        <v>103</v>
      </c>
      <c r="D44" s="184"/>
      <c r="E44" s="184"/>
      <c r="F44" s="184"/>
      <c r="G44" s="199">
        <v>20</v>
      </c>
      <c r="H44" s="184" t="s">
        <v>15</v>
      </c>
      <c r="I44" s="183"/>
    </row>
    <row r="45" spans="2:30" ht="14.25" x14ac:dyDescent="0.2">
      <c r="C45" s="184" t="s">
        <v>14</v>
      </c>
      <c r="D45" s="184"/>
      <c r="E45" s="184"/>
      <c r="F45" s="184"/>
      <c r="G45" s="199">
        <v>1</v>
      </c>
      <c r="H45" s="184" t="s">
        <v>78</v>
      </c>
      <c r="I45" s="183" t="s">
        <v>54</v>
      </c>
      <c r="J45" s="115">
        <f>G45*4186*($G$38-$G$37)/3600</f>
        <v>52.325000000000003</v>
      </c>
      <c r="K45" s="115" t="s">
        <v>10</v>
      </c>
    </row>
    <row r="46" spans="2:30" x14ac:dyDescent="0.2">
      <c r="C46" s="115" t="s">
        <v>58</v>
      </c>
      <c r="G46" s="199">
        <f>aku</f>
        <v>52.325000000000003</v>
      </c>
      <c r="H46" s="115" t="s">
        <v>10</v>
      </c>
    </row>
    <row r="47" spans="2:30" x14ac:dyDescent="0.2">
      <c r="C47" s="115" t="s">
        <v>110</v>
      </c>
      <c r="G47" s="242">
        <f>pot*3600/4186/($G$39-$G$37)</f>
        <v>4.1000000000000023</v>
      </c>
      <c r="H47" s="242"/>
      <c r="I47" s="115" t="s">
        <v>80</v>
      </c>
    </row>
    <row r="48" spans="2:30" x14ac:dyDescent="0.2">
      <c r="C48" s="115" t="s">
        <v>111</v>
      </c>
      <c r="F48" s="229">
        <f>pot*3600/4186/($G$38-$G$37)</f>
        <v>4.1000000000000023</v>
      </c>
      <c r="G48" s="229"/>
      <c r="H48" s="115" t="s">
        <v>80</v>
      </c>
      <c r="J48" s="207" t="s">
        <v>112</v>
      </c>
      <c r="P48" s="115">
        <f>G38</f>
        <v>55</v>
      </c>
      <c r="Q48" s="115" t="s">
        <v>107</v>
      </c>
    </row>
    <row r="49" spans="2:32" x14ac:dyDescent="0.2">
      <c r="B49" s="185" t="s">
        <v>17</v>
      </c>
      <c r="I49" s="115" t="s">
        <v>104</v>
      </c>
    </row>
    <row r="50" spans="2:32" x14ac:dyDescent="0.2">
      <c r="B50" s="115" t="s">
        <v>41</v>
      </c>
      <c r="G50" s="186">
        <f>G51*J51+G52*J52+G53*J53+G54*J54+G55*J55</f>
        <v>214.53250000000003</v>
      </c>
      <c r="H50" s="115" t="s">
        <v>10</v>
      </c>
      <c r="I50" s="115" t="s">
        <v>109</v>
      </c>
    </row>
    <row r="51" spans="2:32" x14ac:dyDescent="0.2">
      <c r="C51" s="115" t="s">
        <v>19</v>
      </c>
      <c r="G51" s="200">
        <v>50</v>
      </c>
      <c r="H51" s="115" t="s">
        <v>18</v>
      </c>
      <c r="I51" s="187">
        <v>82</v>
      </c>
      <c r="J51" s="182">
        <f>(I51/3600)*4.186*($G$39-$G$37)</f>
        <v>4.2906500000000003</v>
      </c>
      <c r="K51" s="115" t="s">
        <v>32</v>
      </c>
    </row>
    <row r="52" spans="2:32" x14ac:dyDescent="0.2">
      <c r="C52" s="115" t="s">
        <v>20</v>
      </c>
      <c r="G52" s="200">
        <v>0</v>
      </c>
      <c r="H52" s="115" t="s">
        <v>18</v>
      </c>
      <c r="I52" s="187">
        <v>67</v>
      </c>
      <c r="J52" s="182">
        <f t="shared" ref="J52:J64" si="17">(I52/3600)*4.186*($G$39-$G$37)</f>
        <v>3.5057749999999999</v>
      </c>
      <c r="K52" s="115" t="s">
        <v>32</v>
      </c>
    </row>
    <row r="53" spans="2:32" x14ac:dyDescent="0.2">
      <c r="C53" s="115" t="s">
        <v>21</v>
      </c>
      <c r="G53" s="200">
        <v>0</v>
      </c>
      <c r="H53" s="115" t="s">
        <v>18</v>
      </c>
      <c r="I53" s="187">
        <v>48</v>
      </c>
      <c r="J53" s="182">
        <f t="shared" si="17"/>
        <v>2.5116000000000001</v>
      </c>
      <c r="K53" s="115" t="s">
        <v>32</v>
      </c>
    </row>
    <row r="54" spans="2:32" x14ac:dyDescent="0.2">
      <c r="C54" s="115" t="s">
        <v>22</v>
      </c>
      <c r="G54" s="200">
        <v>0</v>
      </c>
      <c r="H54" s="115" t="s">
        <v>23</v>
      </c>
      <c r="I54" s="187">
        <v>191</v>
      </c>
      <c r="J54" s="182">
        <f t="shared" si="17"/>
        <v>9.9940750000000005</v>
      </c>
      <c r="K54" s="115" t="s">
        <v>32</v>
      </c>
      <c r="Z54" s="187"/>
      <c r="AA54" s="182"/>
      <c r="AF54" s="182"/>
    </row>
    <row r="55" spans="2:32" x14ac:dyDescent="0.2">
      <c r="C55" s="115" t="s">
        <v>38</v>
      </c>
      <c r="G55" s="200">
        <v>0</v>
      </c>
      <c r="H55" s="115" t="s">
        <v>39</v>
      </c>
      <c r="I55" s="187">
        <v>42</v>
      </c>
      <c r="J55" s="182">
        <f t="shared" si="17"/>
        <v>2.1976499999999999</v>
      </c>
      <c r="K55" s="115" t="s">
        <v>40</v>
      </c>
      <c r="Z55" s="187"/>
      <c r="AA55" s="182"/>
      <c r="AF55" s="182"/>
    </row>
    <row r="56" spans="2:32" x14ac:dyDescent="0.2">
      <c r="B56" s="115" t="s">
        <v>42</v>
      </c>
      <c r="G56" s="186">
        <f>G57*J57+G58*J58</f>
        <v>0</v>
      </c>
      <c r="H56" s="115" t="s">
        <v>10</v>
      </c>
      <c r="I56" s="148"/>
      <c r="J56" s="182"/>
      <c r="Z56" s="187"/>
      <c r="AA56" s="182"/>
      <c r="AF56" s="182"/>
    </row>
    <row r="57" spans="2:32" x14ac:dyDescent="0.2">
      <c r="C57" s="115" t="s">
        <v>24</v>
      </c>
      <c r="G57" s="200">
        <v>0</v>
      </c>
      <c r="H57" s="115" t="s">
        <v>18</v>
      </c>
      <c r="I57" s="187">
        <v>15</v>
      </c>
      <c r="J57" s="182">
        <f t="shared" si="17"/>
        <v>0.7848750000000001</v>
      </c>
      <c r="K57" s="115" t="s">
        <v>31</v>
      </c>
      <c r="Z57" s="187"/>
      <c r="AA57" s="182"/>
      <c r="AF57" s="182"/>
    </row>
    <row r="58" spans="2:32" x14ac:dyDescent="0.2">
      <c r="C58" s="115" t="s">
        <v>25</v>
      </c>
      <c r="G58" s="200">
        <v>0</v>
      </c>
      <c r="H58" s="115" t="s">
        <v>18</v>
      </c>
      <c r="I58" s="187">
        <v>42</v>
      </c>
      <c r="J58" s="182">
        <f t="shared" si="17"/>
        <v>2.1976499999999999</v>
      </c>
      <c r="K58" s="115" t="s">
        <v>31</v>
      </c>
      <c r="Z58" s="187"/>
      <c r="AA58" s="182"/>
      <c r="AF58" s="182"/>
    </row>
    <row r="59" spans="2:32" x14ac:dyDescent="0.2">
      <c r="B59" s="115" t="s">
        <v>43</v>
      </c>
      <c r="G59" s="186">
        <f>G60*J60+G61*J61+G62*J62</f>
        <v>0</v>
      </c>
      <c r="H59" s="115" t="s">
        <v>10</v>
      </c>
      <c r="I59" s="148"/>
      <c r="J59" s="182"/>
      <c r="Z59" s="148"/>
      <c r="AA59" s="182"/>
      <c r="AF59" s="182"/>
    </row>
    <row r="60" spans="2:32" x14ac:dyDescent="0.2">
      <c r="C60" s="115" t="s">
        <v>26</v>
      </c>
      <c r="G60" s="200">
        <v>0</v>
      </c>
      <c r="H60" s="115" t="s">
        <v>29</v>
      </c>
      <c r="I60" s="187">
        <v>2</v>
      </c>
      <c r="J60" s="182">
        <f t="shared" si="17"/>
        <v>0.10464999999999999</v>
      </c>
      <c r="K60" s="115" t="s">
        <v>30</v>
      </c>
      <c r="Z60" s="187"/>
      <c r="AA60" s="182"/>
      <c r="AF60" s="182"/>
    </row>
    <row r="61" spans="2:32" x14ac:dyDescent="0.2">
      <c r="C61" s="115" t="s">
        <v>27</v>
      </c>
      <c r="G61" s="200">
        <v>0</v>
      </c>
      <c r="H61" s="115" t="s">
        <v>29</v>
      </c>
      <c r="I61" s="187">
        <v>3</v>
      </c>
      <c r="J61" s="182">
        <f t="shared" si="17"/>
        <v>0.156975</v>
      </c>
      <c r="K61" s="115" t="s">
        <v>30</v>
      </c>
      <c r="Z61" s="187"/>
      <c r="AA61" s="182"/>
      <c r="AF61" s="182"/>
    </row>
    <row r="62" spans="2:32" x14ac:dyDescent="0.2">
      <c r="C62" s="115" t="s">
        <v>28</v>
      </c>
      <c r="G62" s="200">
        <v>0</v>
      </c>
      <c r="H62" s="115" t="s">
        <v>29</v>
      </c>
      <c r="I62" s="187">
        <v>4</v>
      </c>
      <c r="J62" s="182">
        <f t="shared" si="17"/>
        <v>0.20929999999999999</v>
      </c>
      <c r="K62" s="115" t="s">
        <v>30</v>
      </c>
      <c r="Z62" s="148"/>
      <c r="AA62" s="182"/>
      <c r="AF62" s="182"/>
    </row>
    <row r="63" spans="2:32" x14ac:dyDescent="0.2">
      <c r="B63" s="115" t="s">
        <v>44</v>
      </c>
      <c r="G63" s="186">
        <f>F64*J64/100</f>
        <v>0</v>
      </c>
      <c r="H63" s="115" t="s">
        <v>10</v>
      </c>
      <c r="I63" s="148"/>
      <c r="J63" s="182"/>
      <c r="Z63" s="187"/>
      <c r="AA63" s="182"/>
      <c r="AF63" s="182"/>
    </row>
    <row r="64" spans="2:32" ht="14.25" x14ac:dyDescent="0.2">
      <c r="C64" s="115" t="s">
        <v>33</v>
      </c>
      <c r="F64" s="201"/>
      <c r="G64" s="200">
        <v>0</v>
      </c>
      <c r="H64" s="115" t="s">
        <v>35</v>
      </c>
      <c r="I64" s="187">
        <v>15</v>
      </c>
      <c r="J64" s="182">
        <f t="shared" si="17"/>
        <v>0.7848750000000001</v>
      </c>
      <c r="K64" s="115" t="s">
        <v>34</v>
      </c>
      <c r="Z64" s="187"/>
      <c r="AA64" s="182"/>
      <c r="AF64" s="182"/>
    </row>
    <row r="65" spans="2:32" x14ac:dyDescent="0.2">
      <c r="B65" s="115" t="s">
        <v>45</v>
      </c>
      <c r="G65" s="186">
        <f>G66*4186*45/3600</f>
        <v>0</v>
      </c>
      <c r="H65" s="115" t="s">
        <v>10</v>
      </c>
      <c r="I65" s="148"/>
      <c r="Z65" s="187"/>
      <c r="AA65" s="182"/>
      <c r="AF65" s="182"/>
    </row>
    <row r="66" spans="2:32" ht="14.25" x14ac:dyDescent="0.2">
      <c r="C66" s="115" t="s">
        <v>36</v>
      </c>
      <c r="G66" s="200">
        <v>0</v>
      </c>
      <c r="H66" s="115" t="s">
        <v>37</v>
      </c>
      <c r="Z66" s="148"/>
      <c r="AA66" s="182"/>
      <c r="AF66" s="182"/>
    </row>
    <row r="67" spans="2:32" x14ac:dyDescent="0.2">
      <c r="M67" s="183"/>
      <c r="Z67" s="187"/>
      <c r="AA67" s="182"/>
      <c r="AF67" s="182"/>
    </row>
    <row r="69" spans="2:32" x14ac:dyDescent="0.2">
      <c r="B69" s="115" t="s">
        <v>81</v>
      </c>
    </row>
    <row r="71" spans="2:32" x14ac:dyDescent="0.2">
      <c r="B71" s="115" t="s">
        <v>82</v>
      </c>
      <c r="G71" s="115">
        <f>P35/24</f>
        <v>4.4694270833333336</v>
      </c>
      <c r="H71" s="115" t="s">
        <v>83</v>
      </c>
    </row>
    <row r="72" spans="2:32" x14ac:dyDescent="0.2">
      <c r="B72" s="115" t="s">
        <v>84</v>
      </c>
      <c r="G72" s="200">
        <v>3</v>
      </c>
      <c r="H72" s="115" t="s">
        <v>85</v>
      </c>
      <c r="J72" s="115" t="s">
        <v>86</v>
      </c>
    </row>
    <row r="73" spans="2:32" x14ac:dyDescent="0.2">
      <c r="B73" s="115" t="s">
        <v>87</v>
      </c>
      <c r="G73" s="115">
        <f>G71/4.122/G72</f>
        <v>0.36142868213919893</v>
      </c>
      <c r="H73" s="115" t="s">
        <v>88</v>
      </c>
    </row>
    <row r="74" spans="2:32" x14ac:dyDescent="0.2">
      <c r="G74" s="115">
        <f>G73*3.6</f>
        <v>1.3011432557011162</v>
      </c>
      <c r="H74" s="115" t="s">
        <v>89</v>
      </c>
    </row>
    <row r="75" spans="2:32" x14ac:dyDescent="0.2">
      <c r="B75" s="115" t="s">
        <v>90</v>
      </c>
      <c r="F75" s="183" t="s">
        <v>92</v>
      </c>
      <c r="G75" s="200">
        <v>40</v>
      </c>
      <c r="H75" s="115" t="s">
        <v>91</v>
      </c>
    </row>
    <row r="76" spans="2:32" x14ac:dyDescent="0.2">
      <c r="B76" s="115" t="s">
        <v>93</v>
      </c>
      <c r="G76" s="115">
        <f>G73/1000/(PI()*G75/1000*G75/1000/4)</f>
        <v>0.28761580668821468</v>
      </c>
      <c r="H76" s="115" t="s">
        <v>98</v>
      </c>
    </row>
    <row r="77" spans="2:32" x14ac:dyDescent="0.2">
      <c r="B77" s="115" t="s">
        <v>96</v>
      </c>
      <c r="G77" s="200">
        <v>100</v>
      </c>
      <c r="H77" s="115" t="s">
        <v>97</v>
      </c>
    </row>
    <row r="78" spans="2:32" x14ac:dyDescent="0.2">
      <c r="B78" s="115" t="s">
        <v>94</v>
      </c>
      <c r="G78" s="200">
        <v>0.5</v>
      </c>
      <c r="J78" s="188" t="s">
        <v>95</v>
      </c>
    </row>
    <row r="79" spans="2:32" x14ac:dyDescent="0.2">
      <c r="B79" s="115" t="s">
        <v>99</v>
      </c>
      <c r="G79" s="200">
        <v>125</v>
      </c>
      <c r="H79" s="115" t="s">
        <v>100</v>
      </c>
    </row>
    <row r="80" spans="2:32" x14ac:dyDescent="0.2">
      <c r="B80" s="115" t="s">
        <v>48</v>
      </c>
      <c r="G80" s="115">
        <f>G78*G79*G77/1000</f>
        <v>6.25</v>
      </c>
      <c r="H80" s="115" t="s">
        <v>101</v>
      </c>
    </row>
    <row r="81" spans="2:10" ht="13.5" thickBot="1" x14ac:dyDescent="0.25"/>
    <row r="82" spans="2:10" ht="13.5" thickBot="1" x14ac:dyDescent="0.25">
      <c r="B82" s="189" t="s">
        <v>102</v>
      </c>
      <c r="C82" s="190"/>
      <c r="D82" s="190"/>
      <c r="E82" s="190"/>
      <c r="F82" s="191">
        <f>G74</f>
        <v>1.3011432557011162</v>
      </c>
      <c r="G82" s="191" t="s">
        <v>89</v>
      </c>
      <c r="H82" s="191"/>
      <c r="I82" s="191">
        <f>G80</f>
        <v>6.25</v>
      </c>
      <c r="J82" s="192" t="s">
        <v>101</v>
      </c>
    </row>
    <row r="83" spans="2:10" x14ac:dyDescent="0.2">
      <c r="F83" s="212"/>
      <c r="G83" s="212"/>
    </row>
  </sheetData>
  <sheetProtection algorithmName="SHA-512" hashValue="izm3K4U7uLDB6MONX6U4IokVVBn2pNt/e04BuVXR9V07UYhA+cYlPkuYhMMj+pMaxX19W2/rvEIcDkRvfyTPgQ==" saltValue="5x3nc4bECLGCkbRUnmRfRQ==" spinCount="100000" sheet="1" objects="1" scenarios="1"/>
  <mergeCells count="28">
    <mergeCell ref="P35:Q35"/>
    <mergeCell ref="R34:R35"/>
    <mergeCell ref="A3:E3"/>
    <mergeCell ref="G47:H47"/>
    <mergeCell ref="O39:P39"/>
    <mergeCell ref="A2:E2"/>
    <mergeCell ref="A4:E4"/>
    <mergeCell ref="L35:M35"/>
    <mergeCell ref="N35:O35"/>
    <mergeCell ref="E7:O7"/>
    <mergeCell ref="F8:G8"/>
    <mergeCell ref="H8:I8"/>
    <mergeCell ref="F83:G83"/>
    <mergeCell ref="Z7:AC7"/>
    <mergeCell ref="A5:E5"/>
    <mergeCell ref="B8:D8"/>
    <mergeCell ref="H35:I35"/>
    <mergeCell ref="J35:K35"/>
    <mergeCell ref="J8:K8"/>
    <mergeCell ref="L8:M8"/>
    <mergeCell ref="N8:O8"/>
    <mergeCell ref="F35:G35"/>
    <mergeCell ref="S7:T7"/>
    <mergeCell ref="S8:T8"/>
    <mergeCell ref="W7:Y7"/>
    <mergeCell ref="P7:Q7"/>
    <mergeCell ref="F48:G48"/>
    <mergeCell ref="P8:Q8"/>
  </mergeCells>
  <phoneticPr fontId="7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2">
    <pageSetUpPr fitToPage="1"/>
  </sheetPr>
  <dimension ref="A1:N16"/>
  <sheetViews>
    <sheetView workbookViewId="0">
      <selection activeCell="D4" sqref="D4"/>
    </sheetView>
  </sheetViews>
  <sheetFormatPr defaultColWidth="8.7109375" defaultRowHeight="15" x14ac:dyDescent="0.2"/>
  <cols>
    <col min="1" max="1" width="7.42578125" style="86" customWidth="1"/>
    <col min="2" max="2" width="3.42578125" style="86" customWidth="1"/>
    <col min="3" max="3" width="19.7109375" style="86" customWidth="1"/>
    <col min="4" max="4" width="11.42578125" style="86" bestFit="1" customWidth="1"/>
    <col min="5" max="5" width="6.42578125" style="86" customWidth="1"/>
    <col min="6" max="6" width="3.42578125" style="86" customWidth="1"/>
    <col min="7" max="7" width="7.140625" style="86" customWidth="1"/>
    <col min="8" max="8" width="9.140625" style="86"/>
    <col min="9" max="9" width="17.140625" style="86" customWidth="1"/>
    <col min="10" max="14" width="9.140625" style="86"/>
  </cols>
  <sheetData>
    <row r="1" spans="1:14" ht="15" customHeight="1" x14ac:dyDescent="0.25">
      <c r="A1" s="244" t="s">
        <v>70</v>
      </c>
      <c r="B1" s="244"/>
      <c r="C1" s="244"/>
      <c r="D1" s="244"/>
      <c r="E1" s="244"/>
      <c r="F1" s="244"/>
      <c r="G1" s="244"/>
    </row>
    <row r="2" spans="1:14" ht="15.75" thickBot="1" x14ac:dyDescent="0.25"/>
    <row r="3" spans="1:14" ht="15.75" thickBot="1" x14ac:dyDescent="0.25">
      <c r="B3" s="245" t="s">
        <v>67</v>
      </c>
      <c r="C3" s="246"/>
      <c r="D3" s="246"/>
      <c r="E3" s="247"/>
    </row>
    <row r="4" spans="1:14" x14ac:dyDescent="0.2">
      <c r="C4" s="90" t="s">
        <v>4</v>
      </c>
      <c r="D4" s="91">
        <f>uzi</f>
        <v>214.53250000000003</v>
      </c>
      <c r="E4" s="92" t="s">
        <v>10</v>
      </c>
    </row>
    <row r="5" spans="1:14" x14ac:dyDescent="0.2">
      <c r="C5" s="93" t="s">
        <v>5</v>
      </c>
      <c r="D5" s="89">
        <f>per</f>
        <v>0</v>
      </c>
      <c r="E5" s="94" t="s">
        <v>10</v>
      </c>
    </row>
    <row r="6" spans="1:14" x14ac:dyDescent="0.2">
      <c r="C6" s="93" t="s">
        <v>6</v>
      </c>
      <c r="D6" s="89">
        <f>gas</f>
        <v>0</v>
      </c>
      <c r="E6" s="94" t="s">
        <v>10</v>
      </c>
    </row>
    <row r="7" spans="1:14" x14ac:dyDescent="0.2">
      <c r="C7" s="93" t="s">
        <v>7</v>
      </c>
      <c r="D7" s="89">
        <f>ukl</f>
        <v>0</v>
      </c>
      <c r="E7" s="94" t="s">
        <v>10</v>
      </c>
    </row>
    <row r="8" spans="1:14" ht="15.75" thickBot="1" x14ac:dyDescent="0.25">
      <c r="C8" s="96" t="s">
        <v>8</v>
      </c>
      <c r="D8" s="97">
        <f>ost</f>
        <v>0</v>
      </c>
      <c r="E8" s="98" t="s">
        <v>10</v>
      </c>
    </row>
    <row r="9" spans="1:14" ht="15.75" thickBot="1" x14ac:dyDescent="0.25">
      <c r="B9" s="248" t="s">
        <v>71</v>
      </c>
      <c r="C9" s="249"/>
      <c r="D9" s="99">
        <f>TV!P35</f>
        <v>107.26625</v>
      </c>
      <c r="E9" s="92" t="s">
        <v>10</v>
      </c>
    </row>
    <row r="10" spans="1:14" s="88" customFormat="1" ht="16.5" thickBot="1" x14ac:dyDescent="0.3">
      <c r="A10" s="87"/>
      <c r="B10" s="100" t="s">
        <v>3</v>
      </c>
      <c r="C10" s="101"/>
      <c r="D10" s="102">
        <f>spot</f>
        <v>321.79874999999998</v>
      </c>
      <c r="E10" s="103" t="s">
        <v>10</v>
      </c>
      <c r="F10" s="104" t="s">
        <v>72</v>
      </c>
      <c r="G10" s="113">
        <f>spot*0.0036</f>
        <v>1.1584755</v>
      </c>
      <c r="H10" s="105" t="s">
        <v>73</v>
      </c>
      <c r="I10" s="87"/>
      <c r="J10" s="87"/>
      <c r="K10" s="87"/>
      <c r="L10" s="87"/>
      <c r="M10" s="87"/>
      <c r="N10" s="87"/>
    </row>
    <row r="11" spans="1:14" ht="15.75" thickBot="1" x14ac:dyDescent="0.25"/>
    <row r="12" spans="1:14" ht="15.75" thickBot="1" x14ac:dyDescent="0.25">
      <c r="B12" s="245" t="s">
        <v>74</v>
      </c>
      <c r="C12" s="246"/>
      <c r="D12" s="246"/>
      <c r="E12" s="247"/>
    </row>
    <row r="13" spans="1:14" ht="16.5" thickBot="1" x14ac:dyDescent="0.3">
      <c r="D13" s="106">
        <f>ele</f>
        <v>20</v>
      </c>
      <c r="E13" s="107" t="s">
        <v>15</v>
      </c>
    </row>
    <row r="14" spans="1:14" ht="15.75" thickBot="1" x14ac:dyDescent="0.25">
      <c r="B14" s="245" t="s">
        <v>75</v>
      </c>
      <c r="C14" s="246"/>
      <c r="D14" s="246"/>
      <c r="E14" s="247"/>
    </row>
    <row r="15" spans="1:14" ht="18.75" x14ac:dyDescent="0.25">
      <c r="D15" s="109">
        <f>TV!G45</f>
        <v>1</v>
      </c>
      <c r="E15" s="110" t="s">
        <v>76</v>
      </c>
    </row>
    <row r="16" spans="1:14" ht="15.75" thickBot="1" x14ac:dyDescent="0.25">
      <c r="C16" s="108" t="s">
        <v>77</v>
      </c>
      <c r="D16" s="111">
        <f>aku</f>
        <v>52.325000000000003</v>
      </c>
      <c r="E16" s="95" t="s">
        <v>10</v>
      </c>
    </row>
  </sheetData>
  <sheetProtection algorithmName="SHA-512" hashValue="PxsbNkTLntHsmyuJeRDLhZIlpWQyLXDun5AUh5jIZY8vpg6ZLoNhbaxcmIx5hDv3f3CiHWifw2XepQdMnqChZw==" saltValue="XFXTp3nfJF4xAI9erVu/hg==" spinCount="100000" sheet="1" objects="1" scenarios="1"/>
  <mergeCells count="5">
    <mergeCell ref="A1:G1"/>
    <mergeCell ref="B3:E3"/>
    <mergeCell ref="B9:C9"/>
    <mergeCell ref="B14:E14"/>
    <mergeCell ref="B12:E12"/>
  </mergeCells>
  <phoneticPr fontId="7" type="noConversion"/>
  <pageMargins left="0.78740157480314965" right="0.78740157480314965" top="0.98425196850393704" bottom="0.98425196850393704" header="0.51181102362204722" footer="0.51181102362204722"/>
  <pageSetup paperSize="9" scale="95" orientation="portrait" r:id="rId1"/>
  <headerFooter alignWithMargins="0"/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F65"/>
  <sheetViews>
    <sheetView topLeftCell="A25" workbookViewId="0">
      <selection activeCell="H50" sqref="H50"/>
    </sheetView>
  </sheetViews>
  <sheetFormatPr defaultColWidth="8.7109375" defaultRowHeight="12.75" x14ac:dyDescent="0.2"/>
  <cols>
    <col min="1" max="1" width="5.7109375" customWidth="1"/>
    <col min="2" max="2" width="4" customWidth="1"/>
    <col min="3" max="3" width="3.42578125" customWidth="1"/>
    <col min="4" max="4" width="4" customWidth="1"/>
    <col min="6" max="17" width="5.42578125" customWidth="1"/>
    <col min="18" max="18" width="10.140625" customWidth="1"/>
    <col min="19" max="20" width="5.42578125" customWidth="1"/>
    <col min="21" max="21" width="10.140625" customWidth="1"/>
    <col min="23" max="26" width="9.140625" customWidth="1"/>
  </cols>
  <sheetData>
    <row r="1" spans="1:32" ht="18" x14ac:dyDescent="0.25">
      <c r="A1" s="1" t="s">
        <v>0</v>
      </c>
    </row>
    <row r="2" spans="1:32" x14ac:dyDescent="0.2">
      <c r="A2" s="273" t="s">
        <v>46</v>
      </c>
      <c r="B2" s="273"/>
      <c r="C2" s="273"/>
      <c r="D2" s="273"/>
      <c r="E2" s="273"/>
    </row>
    <row r="3" spans="1:32" x14ac:dyDescent="0.2">
      <c r="A3" s="274" t="s">
        <v>65</v>
      </c>
      <c r="B3" s="275"/>
      <c r="C3" s="275"/>
      <c r="D3" s="275"/>
      <c r="E3" s="275"/>
    </row>
    <row r="4" spans="1:32" x14ac:dyDescent="0.2">
      <c r="A4" s="276" t="s">
        <v>47</v>
      </c>
      <c r="B4" s="276"/>
      <c r="C4" s="276"/>
      <c r="D4" s="276"/>
      <c r="E4" s="276"/>
    </row>
    <row r="5" spans="1:32" x14ac:dyDescent="0.2">
      <c r="A5" s="277" t="s">
        <v>79</v>
      </c>
      <c r="B5" s="277"/>
      <c r="C5" s="277"/>
      <c r="D5" s="277"/>
      <c r="E5" s="277"/>
    </row>
    <row r="6" spans="1:32" ht="13.5" thickBot="1" x14ac:dyDescent="0.25"/>
    <row r="7" spans="1:32" ht="13.5" thickBot="1" x14ac:dyDescent="0.25">
      <c r="A7" s="2"/>
      <c r="B7" s="12"/>
      <c r="C7" s="13"/>
      <c r="D7" s="14"/>
      <c r="E7" s="265" t="s">
        <v>11</v>
      </c>
      <c r="F7" s="266"/>
      <c r="G7" s="266"/>
      <c r="H7" s="266"/>
      <c r="I7" s="266"/>
      <c r="J7" s="266"/>
      <c r="K7" s="266"/>
      <c r="L7" s="266"/>
      <c r="M7" s="266"/>
      <c r="N7" s="266"/>
      <c r="O7" s="267"/>
      <c r="P7" s="265" t="s">
        <v>48</v>
      </c>
      <c r="Q7" s="266"/>
      <c r="R7" s="58" t="s">
        <v>51</v>
      </c>
      <c r="S7" s="261" t="s">
        <v>53</v>
      </c>
      <c r="T7" s="268"/>
      <c r="U7" s="78" t="s">
        <v>57</v>
      </c>
      <c r="V7" s="2"/>
      <c r="W7" s="278" t="s">
        <v>59</v>
      </c>
      <c r="X7" s="278"/>
      <c r="Y7" s="278"/>
      <c r="Z7" s="278" t="s">
        <v>66</v>
      </c>
      <c r="AA7" s="278"/>
      <c r="AB7" s="278"/>
      <c r="AC7" s="278"/>
      <c r="AD7" s="2"/>
      <c r="AE7" s="2"/>
      <c r="AF7" s="2"/>
    </row>
    <row r="8" spans="1:32" x14ac:dyDescent="0.2">
      <c r="A8" s="2"/>
      <c r="B8" s="269" t="s">
        <v>1</v>
      </c>
      <c r="C8" s="270"/>
      <c r="D8" s="271"/>
      <c r="E8" s="36" t="s">
        <v>3</v>
      </c>
      <c r="F8" s="272" t="s">
        <v>4</v>
      </c>
      <c r="G8" s="264"/>
      <c r="H8" s="259" t="s">
        <v>5</v>
      </c>
      <c r="I8" s="264"/>
      <c r="J8" s="259" t="s">
        <v>6</v>
      </c>
      <c r="K8" s="264"/>
      <c r="L8" s="259" t="s">
        <v>7</v>
      </c>
      <c r="M8" s="264"/>
      <c r="N8" s="259" t="s">
        <v>8</v>
      </c>
      <c r="O8" s="260"/>
      <c r="P8" s="261" t="s">
        <v>50</v>
      </c>
      <c r="Q8" s="262"/>
      <c r="R8" s="59" t="s">
        <v>52</v>
      </c>
      <c r="S8" s="263" t="s">
        <v>55</v>
      </c>
      <c r="T8" s="264"/>
      <c r="U8" s="79" t="s">
        <v>56</v>
      </c>
      <c r="V8" s="2"/>
      <c r="W8" s="80" t="s">
        <v>53</v>
      </c>
      <c r="X8" s="80" t="s">
        <v>51</v>
      </c>
      <c r="Y8" s="80" t="s">
        <v>61</v>
      </c>
      <c r="Z8" s="80" t="s">
        <v>69</v>
      </c>
      <c r="AA8" s="80" t="s">
        <v>48</v>
      </c>
      <c r="AB8" s="80" t="s">
        <v>67</v>
      </c>
      <c r="AC8" s="80" t="s">
        <v>68</v>
      </c>
      <c r="AD8" s="2"/>
      <c r="AE8" s="2"/>
      <c r="AF8" s="2"/>
    </row>
    <row r="9" spans="1:32" ht="13.5" thickBot="1" x14ac:dyDescent="0.25">
      <c r="A9" s="2"/>
      <c r="B9" s="15"/>
      <c r="C9" s="16"/>
      <c r="D9" s="17"/>
      <c r="E9" s="37"/>
      <c r="F9" s="11" t="s">
        <v>9</v>
      </c>
      <c r="G9" s="5" t="s">
        <v>10</v>
      </c>
      <c r="H9" s="5" t="s">
        <v>9</v>
      </c>
      <c r="I9" s="5" t="s">
        <v>10</v>
      </c>
      <c r="J9" s="5" t="s">
        <v>9</v>
      </c>
      <c r="K9" s="5" t="s">
        <v>10</v>
      </c>
      <c r="L9" s="5" t="s">
        <v>9</v>
      </c>
      <c r="M9" s="5" t="s">
        <v>10</v>
      </c>
      <c r="N9" s="5" t="s">
        <v>9</v>
      </c>
      <c r="O9" s="6" t="s">
        <v>10</v>
      </c>
      <c r="P9" s="56" t="s">
        <v>49</v>
      </c>
      <c r="Q9" s="60">
        <v>0.5</v>
      </c>
      <c r="R9" s="67" t="s">
        <v>10</v>
      </c>
      <c r="S9" s="77" t="s">
        <v>9</v>
      </c>
      <c r="T9" s="9" t="s">
        <v>15</v>
      </c>
      <c r="U9" s="10" t="s">
        <v>10</v>
      </c>
      <c r="V9" s="2"/>
      <c r="W9" s="80" t="s">
        <v>60</v>
      </c>
      <c r="X9" s="80" t="s">
        <v>60</v>
      </c>
      <c r="Y9" s="80"/>
      <c r="Z9" s="81">
        <v>0</v>
      </c>
      <c r="AA9" s="81">
        <v>0</v>
      </c>
      <c r="AB9" s="81">
        <v>0</v>
      </c>
      <c r="AC9" s="83">
        <f>G45</f>
        <v>42</v>
      </c>
      <c r="AD9" s="2"/>
      <c r="AE9" s="2"/>
      <c r="AF9" s="2"/>
    </row>
    <row r="10" spans="1:32" x14ac:dyDescent="0.2">
      <c r="B10" s="18">
        <v>0</v>
      </c>
      <c r="C10" s="23" t="s">
        <v>2</v>
      </c>
      <c r="D10" s="19">
        <v>1</v>
      </c>
      <c r="E10" s="52">
        <f>G10+I10+K10+M10+O10</f>
        <v>2.1453250000000001</v>
      </c>
      <c r="F10" s="42">
        <v>1</v>
      </c>
      <c r="G10" s="46">
        <f t="shared" ref="G10:G33" si="0">F10/100*uzi</f>
        <v>2.1453250000000001</v>
      </c>
      <c r="H10" s="34">
        <v>0</v>
      </c>
      <c r="I10" s="46">
        <f t="shared" ref="I10:I33" si="1">H10/100*per</f>
        <v>0</v>
      </c>
      <c r="J10" s="34">
        <v>1</v>
      </c>
      <c r="K10" s="46">
        <f t="shared" ref="K10:K33" si="2">J10/100*gas</f>
        <v>0</v>
      </c>
      <c r="L10" s="34">
        <v>0</v>
      </c>
      <c r="M10" s="46">
        <f t="shared" ref="M10:M33" si="3">L10/100*ukl</f>
        <v>0</v>
      </c>
      <c r="N10" s="34">
        <v>0</v>
      </c>
      <c r="O10" s="49">
        <f t="shared" ref="O10:O33" si="4">N10/100*ost</f>
        <v>0</v>
      </c>
      <c r="P10" s="18"/>
      <c r="Q10" s="62">
        <f t="shared" ref="Q10:Q33" si="5">pot/24*ztv</f>
        <v>4.4694270833333354</v>
      </c>
      <c r="R10" s="68">
        <f>E10+Q10</f>
        <v>6.614752083333336</v>
      </c>
      <c r="S10" s="74">
        <f t="shared" ref="S10:S33" si="6">T10/ele</f>
        <v>0.84698760416666696</v>
      </c>
      <c r="T10" s="75">
        <f>MIN(ele,R10+aku-G45)</f>
        <v>16.939752083333339</v>
      </c>
      <c r="U10" s="76">
        <f>T10-R10+G45</f>
        <v>52.325000000000003</v>
      </c>
      <c r="V10" s="55"/>
      <c r="W10" s="84">
        <f>spot/24</f>
        <v>13.40828125</v>
      </c>
      <c r="X10" s="84">
        <f>R10</f>
        <v>6.614752083333336</v>
      </c>
      <c r="Y10" s="84">
        <f>X10-W10</f>
        <v>-6.793529166666664</v>
      </c>
      <c r="Z10" s="84">
        <v>1</v>
      </c>
      <c r="AA10" s="83">
        <f>Q10+AA9</f>
        <v>4.4694270833333354</v>
      </c>
      <c r="AB10" s="83">
        <f>E10+AB9</f>
        <v>2.1453250000000001</v>
      </c>
      <c r="AC10" s="83">
        <f>U10</f>
        <v>52.325000000000003</v>
      </c>
      <c r="AD10" s="55"/>
      <c r="AE10" s="55"/>
      <c r="AF10" s="55"/>
    </row>
    <row r="11" spans="1:32" x14ac:dyDescent="0.2">
      <c r="B11" s="20">
        <v>1</v>
      </c>
      <c r="C11" s="24" t="s">
        <v>2</v>
      </c>
      <c r="D11" s="21">
        <v>2</v>
      </c>
      <c r="E11" s="53">
        <f t="shared" ref="E11:E33" si="7">G11+I11+K11+M11+O11</f>
        <v>0</v>
      </c>
      <c r="F11" s="43">
        <v>0</v>
      </c>
      <c r="G11" s="47">
        <f t="shared" si="0"/>
        <v>0</v>
      </c>
      <c r="H11" s="35">
        <v>0</v>
      </c>
      <c r="I11" s="47">
        <f t="shared" si="1"/>
        <v>0</v>
      </c>
      <c r="J11" s="35">
        <v>0</v>
      </c>
      <c r="K11" s="47">
        <f t="shared" si="2"/>
        <v>0</v>
      </c>
      <c r="L11" s="35">
        <v>0</v>
      </c>
      <c r="M11" s="47">
        <f t="shared" si="3"/>
        <v>0</v>
      </c>
      <c r="N11" s="35">
        <v>0</v>
      </c>
      <c r="O11" s="50">
        <f t="shared" si="4"/>
        <v>0</v>
      </c>
      <c r="P11" s="20"/>
      <c r="Q11" s="63">
        <f t="shared" si="5"/>
        <v>4.4694270833333354</v>
      </c>
      <c r="R11" s="69">
        <f t="shared" ref="R11:R33" si="8">E11+Q11</f>
        <v>4.4694270833333354</v>
      </c>
      <c r="S11" s="72">
        <f t="shared" si="6"/>
        <v>0.2234713541666668</v>
      </c>
      <c r="T11" s="47">
        <f t="shared" ref="T11:T33" si="9">MIN(ele,R11+aku-U10)</f>
        <v>4.4694270833333363</v>
      </c>
      <c r="U11" s="50">
        <f t="shared" ref="U11:U33" si="10">U10+T11-R11</f>
        <v>52.325000000000003</v>
      </c>
      <c r="V11" s="55"/>
      <c r="W11" s="84">
        <f t="shared" ref="W11:W33" si="11">W10+spot/24</f>
        <v>26.8165625</v>
      </c>
      <c r="X11" s="84">
        <f>X10+R11</f>
        <v>11.084179166666672</v>
      </c>
      <c r="Y11" s="84">
        <f t="shared" ref="Y11:Y33" si="12">X11-W11</f>
        <v>-15.732383333333328</v>
      </c>
      <c r="Z11" s="84">
        <v>2</v>
      </c>
      <c r="AA11" s="83">
        <f t="shared" ref="AA11:AA33" si="13">Q11+AA10</f>
        <v>8.9388541666666708</v>
      </c>
      <c r="AB11" s="83">
        <f t="shared" ref="AB11:AB33" si="14">E11+AB10</f>
        <v>2.1453250000000001</v>
      </c>
      <c r="AC11" s="83">
        <f t="shared" ref="AC11:AC33" si="15">U11</f>
        <v>52.325000000000003</v>
      </c>
      <c r="AD11" s="55"/>
      <c r="AE11" s="55"/>
      <c r="AF11" s="55"/>
    </row>
    <row r="12" spans="1:32" x14ac:dyDescent="0.2">
      <c r="B12" s="20">
        <v>2</v>
      </c>
      <c r="C12" s="24" t="s">
        <v>2</v>
      </c>
      <c r="D12" s="21">
        <v>3</v>
      </c>
      <c r="E12" s="53">
        <f t="shared" si="7"/>
        <v>0</v>
      </c>
      <c r="F12" s="43">
        <v>0</v>
      </c>
      <c r="G12" s="47">
        <f t="shared" si="0"/>
        <v>0</v>
      </c>
      <c r="H12" s="35">
        <v>0</v>
      </c>
      <c r="I12" s="47">
        <f t="shared" si="1"/>
        <v>0</v>
      </c>
      <c r="J12" s="35">
        <v>0</v>
      </c>
      <c r="K12" s="47">
        <f t="shared" si="2"/>
        <v>0</v>
      </c>
      <c r="L12" s="35">
        <v>0</v>
      </c>
      <c r="M12" s="47">
        <f t="shared" si="3"/>
        <v>0</v>
      </c>
      <c r="N12" s="35">
        <v>0</v>
      </c>
      <c r="O12" s="50">
        <f t="shared" si="4"/>
        <v>0</v>
      </c>
      <c r="P12" s="20"/>
      <c r="Q12" s="63">
        <f t="shared" si="5"/>
        <v>4.4694270833333354</v>
      </c>
      <c r="R12" s="69">
        <f t="shared" si="8"/>
        <v>4.4694270833333354</v>
      </c>
      <c r="S12" s="72">
        <f t="shared" si="6"/>
        <v>0.2234713541666668</v>
      </c>
      <c r="T12" s="47">
        <f t="shared" si="9"/>
        <v>4.4694270833333363</v>
      </c>
      <c r="U12" s="50">
        <f t="shared" si="10"/>
        <v>52.325000000000003</v>
      </c>
      <c r="V12" s="55"/>
      <c r="W12" s="84">
        <f t="shared" si="11"/>
        <v>40.224843749999998</v>
      </c>
      <c r="X12" s="84">
        <f t="shared" ref="X12:X33" si="16">X11+R12</f>
        <v>15.553606250000009</v>
      </c>
      <c r="Y12" s="84">
        <f t="shared" si="12"/>
        <v>-24.671237499999989</v>
      </c>
      <c r="Z12" s="84">
        <v>3</v>
      </c>
      <c r="AA12" s="83">
        <f t="shared" si="13"/>
        <v>13.408281250000005</v>
      </c>
      <c r="AB12" s="83">
        <f t="shared" si="14"/>
        <v>2.1453250000000001</v>
      </c>
      <c r="AC12" s="83">
        <f t="shared" si="15"/>
        <v>52.325000000000003</v>
      </c>
      <c r="AD12" s="55"/>
      <c r="AE12" s="55"/>
      <c r="AF12" s="55"/>
    </row>
    <row r="13" spans="1:32" x14ac:dyDescent="0.2">
      <c r="B13" s="20">
        <v>3</v>
      </c>
      <c r="C13" s="24" t="s">
        <v>2</v>
      </c>
      <c r="D13" s="21">
        <v>4</v>
      </c>
      <c r="E13" s="53">
        <f t="shared" si="7"/>
        <v>0</v>
      </c>
      <c r="F13" s="43">
        <v>0</v>
      </c>
      <c r="G13" s="47">
        <f t="shared" si="0"/>
        <v>0</v>
      </c>
      <c r="H13" s="35">
        <v>0</v>
      </c>
      <c r="I13" s="47">
        <f t="shared" si="1"/>
        <v>0</v>
      </c>
      <c r="J13" s="35">
        <v>0</v>
      </c>
      <c r="K13" s="47">
        <f t="shared" si="2"/>
        <v>0</v>
      </c>
      <c r="L13" s="35">
        <v>0</v>
      </c>
      <c r="M13" s="47">
        <f t="shared" si="3"/>
        <v>0</v>
      </c>
      <c r="N13" s="35">
        <v>0</v>
      </c>
      <c r="O13" s="50">
        <f t="shared" si="4"/>
        <v>0</v>
      </c>
      <c r="P13" s="20"/>
      <c r="Q13" s="63">
        <f t="shared" si="5"/>
        <v>4.4694270833333354</v>
      </c>
      <c r="R13" s="69">
        <f t="shared" si="8"/>
        <v>4.4694270833333354</v>
      </c>
      <c r="S13" s="72">
        <f t="shared" si="6"/>
        <v>0.2234713541666668</v>
      </c>
      <c r="T13" s="47">
        <f t="shared" si="9"/>
        <v>4.4694270833333363</v>
      </c>
      <c r="U13" s="50">
        <f t="shared" si="10"/>
        <v>52.325000000000003</v>
      </c>
      <c r="V13" s="55"/>
      <c r="W13" s="84">
        <f t="shared" si="11"/>
        <v>53.633125</v>
      </c>
      <c r="X13" s="84">
        <f t="shared" si="16"/>
        <v>20.023033333333345</v>
      </c>
      <c r="Y13" s="84">
        <f t="shared" si="12"/>
        <v>-33.610091666666655</v>
      </c>
      <c r="Z13" s="84">
        <v>4</v>
      </c>
      <c r="AA13" s="83">
        <f t="shared" si="13"/>
        <v>17.877708333333342</v>
      </c>
      <c r="AB13" s="83">
        <f t="shared" si="14"/>
        <v>2.1453250000000001</v>
      </c>
      <c r="AC13" s="83">
        <f t="shared" si="15"/>
        <v>52.325000000000003</v>
      </c>
      <c r="AD13" s="55"/>
      <c r="AE13" s="55"/>
      <c r="AF13" s="55"/>
    </row>
    <row r="14" spans="1:32" x14ac:dyDescent="0.2">
      <c r="B14" s="20">
        <v>4</v>
      </c>
      <c r="C14" s="24" t="s">
        <v>2</v>
      </c>
      <c r="D14" s="21">
        <v>5</v>
      </c>
      <c r="E14" s="53">
        <f t="shared" si="7"/>
        <v>0</v>
      </c>
      <c r="F14" s="43">
        <v>0</v>
      </c>
      <c r="G14" s="47">
        <f t="shared" si="0"/>
        <v>0</v>
      </c>
      <c r="H14" s="35">
        <v>0</v>
      </c>
      <c r="I14" s="47">
        <f t="shared" si="1"/>
        <v>0</v>
      </c>
      <c r="J14" s="35">
        <v>0</v>
      </c>
      <c r="K14" s="47">
        <f t="shared" si="2"/>
        <v>0</v>
      </c>
      <c r="L14" s="35">
        <v>0</v>
      </c>
      <c r="M14" s="47">
        <f t="shared" si="3"/>
        <v>0</v>
      </c>
      <c r="N14" s="35">
        <v>0</v>
      </c>
      <c r="O14" s="50">
        <f t="shared" si="4"/>
        <v>0</v>
      </c>
      <c r="P14" s="20"/>
      <c r="Q14" s="63">
        <f t="shared" si="5"/>
        <v>4.4694270833333354</v>
      </c>
      <c r="R14" s="69">
        <f t="shared" si="8"/>
        <v>4.4694270833333354</v>
      </c>
      <c r="S14" s="72">
        <f t="shared" si="6"/>
        <v>0.2234713541666668</v>
      </c>
      <c r="T14" s="47">
        <f t="shared" si="9"/>
        <v>4.4694270833333363</v>
      </c>
      <c r="U14" s="50">
        <f t="shared" si="10"/>
        <v>52.325000000000003</v>
      </c>
      <c r="V14" s="55"/>
      <c r="W14" s="84">
        <f t="shared" si="11"/>
        <v>67.041406249999994</v>
      </c>
      <c r="X14" s="84">
        <f t="shared" si="16"/>
        <v>24.492460416666681</v>
      </c>
      <c r="Y14" s="84">
        <f t="shared" si="12"/>
        <v>-42.548945833333313</v>
      </c>
      <c r="Z14" s="84">
        <v>5</v>
      </c>
      <c r="AA14" s="83">
        <f t="shared" si="13"/>
        <v>22.347135416666678</v>
      </c>
      <c r="AB14" s="83">
        <f t="shared" si="14"/>
        <v>2.1453250000000001</v>
      </c>
      <c r="AC14" s="83">
        <f t="shared" si="15"/>
        <v>52.325000000000003</v>
      </c>
      <c r="AD14" s="55"/>
      <c r="AE14" s="55"/>
      <c r="AF14" s="55"/>
    </row>
    <row r="15" spans="1:32" x14ac:dyDescent="0.2">
      <c r="B15" s="20">
        <v>5</v>
      </c>
      <c r="C15" s="24" t="s">
        <v>2</v>
      </c>
      <c r="D15" s="21">
        <v>6</v>
      </c>
      <c r="E15" s="53">
        <f t="shared" si="7"/>
        <v>2.1453250000000001</v>
      </c>
      <c r="F15" s="43">
        <v>1</v>
      </c>
      <c r="G15" s="47">
        <f t="shared" si="0"/>
        <v>2.1453250000000001</v>
      </c>
      <c r="H15" s="35">
        <v>0</v>
      </c>
      <c r="I15" s="47">
        <f t="shared" si="1"/>
        <v>0</v>
      </c>
      <c r="J15" s="35">
        <v>0</v>
      </c>
      <c r="K15" s="47">
        <f t="shared" si="2"/>
        <v>0</v>
      </c>
      <c r="L15" s="35">
        <v>0</v>
      </c>
      <c r="M15" s="47">
        <f t="shared" si="3"/>
        <v>0</v>
      </c>
      <c r="N15" s="35">
        <v>0</v>
      </c>
      <c r="O15" s="50">
        <f t="shared" si="4"/>
        <v>0</v>
      </c>
      <c r="P15" s="20"/>
      <c r="Q15" s="63">
        <f t="shared" si="5"/>
        <v>4.4694270833333354</v>
      </c>
      <c r="R15" s="69">
        <f t="shared" si="8"/>
        <v>6.614752083333336</v>
      </c>
      <c r="S15" s="72">
        <f t="shared" si="6"/>
        <v>0.33073760416666681</v>
      </c>
      <c r="T15" s="47">
        <f t="shared" si="9"/>
        <v>6.614752083333336</v>
      </c>
      <c r="U15" s="50">
        <f t="shared" si="10"/>
        <v>52.325000000000003</v>
      </c>
      <c r="V15" s="55"/>
      <c r="W15" s="84">
        <f t="shared" si="11"/>
        <v>80.449687499999996</v>
      </c>
      <c r="X15" s="84">
        <f t="shared" si="16"/>
        <v>31.107212500000017</v>
      </c>
      <c r="Y15" s="84">
        <f t="shared" si="12"/>
        <v>-49.342474999999979</v>
      </c>
      <c r="Z15" s="84">
        <v>6</v>
      </c>
      <c r="AA15" s="83">
        <f t="shared" si="13"/>
        <v>26.816562500000014</v>
      </c>
      <c r="AB15" s="83">
        <f t="shared" si="14"/>
        <v>4.2906500000000003</v>
      </c>
      <c r="AC15" s="83">
        <f t="shared" si="15"/>
        <v>52.325000000000003</v>
      </c>
      <c r="AD15" s="55"/>
      <c r="AE15" s="55"/>
      <c r="AF15" s="55"/>
    </row>
    <row r="16" spans="1:32" x14ac:dyDescent="0.2">
      <c r="B16" s="20">
        <v>6</v>
      </c>
      <c r="C16" s="24" t="s">
        <v>2</v>
      </c>
      <c r="D16" s="21">
        <v>7</v>
      </c>
      <c r="E16" s="53">
        <f t="shared" si="7"/>
        <v>6.4359750000000009</v>
      </c>
      <c r="F16" s="43">
        <v>3</v>
      </c>
      <c r="G16" s="47">
        <f t="shared" si="0"/>
        <v>6.4359750000000009</v>
      </c>
      <c r="H16" s="35">
        <v>0</v>
      </c>
      <c r="I16" s="47">
        <f t="shared" si="1"/>
        <v>0</v>
      </c>
      <c r="J16" s="35">
        <v>1</v>
      </c>
      <c r="K16" s="47">
        <f t="shared" si="2"/>
        <v>0</v>
      </c>
      <c r="L16" s="35">
        <v>20</v>
      </c>
      <c r="M16" s="47">
        <f t="shared" si="3"/>
        <v>0</v>
      </c>
      <c r="N16" s="35">
        <v>0</v>
      </c>
      <c r="O16" s="50">
        <f t="shared" si="4"/>
        <v>0</v>
      </c>
      <c r="P16" s="20"/>
      <c r="Q16" s="63">
        <f t="shared" si="5"/>
        <v>4.4694270833333354</v>
      </c>
      <c r="R16" s="69">
        <f t="shared" si="8"/>
        <v>10.905402083333335</v>
      </c>
      <c r="S16" s="72">
        <f t="shared" si="6"/>
        <v>0.54527010416666677</v>
      </c>
      <c r="T16" s="47">
        <f t="shared" si="9"/>
        <v>10.905402083333335</v>
      </c>
      <c r="U16" s="50">
        <f t="shared" si="10"/>
        <v>52.325000000000003</v>
      </c>
      <c r="V16" s="55"/>
      <c r="W16" s="84">
        <f t="shared" si="11"/>
        <v>93.857968749999998</v>
      </c>
      <c r="X16" s="84">
        <f t="shared" si="16"/>
        <v>42.012614583333352</v>
      </c>
      <c r="Y16" s="84">
        <f t="shared" si="12"/>
        <v>-51.845354166666645</v>
      </c>
      <c r="Z16" s="84">
        <v>7</v>
      </c>
      <c r="AA16" s="83">
        <f t="shared" si="13"/>
        <v>31.28598958333335</v>
      </c>
      <c r="AB16" s="83">
        <f t="shared" si="14"/>
        <v>10.726625000000002</v>
      </c>
      <c r="AC16" s="83">
        <f t="shared" si="15"/>
        <v>52.325000000000003</v>
      </c>
      <c r="AD16" s="55"/>
      <c r="AE16" s="55"/>
      <c r="AF16" s="55"/>
    </row>
    <row r="17" spans="2:32" x14ac:dyDescent="0.2">
      <c r="B17" s="20">
        <v>7</v>
      </c>
      <c r="C17" s="24" t="s">
        <v>2</v>
      </c>
      <c r="D17" s="21">
        <v>8</v>
      </c>
      <c r="E17" s="53">
        <f t="shared" si="7"/>
        <v>8.5813000000000006</v>
      </c>
      <c r="F17" s="43">
        <v>4</v>
      </c>
      <c r="G17" s="47">
        <f t="shared" si="0"/>
        <v>8.5813000000000006</v>
      </c>
      <c r="H17" s="35">
        <v>3</v>
      </c>
      <c r="I17" s="47">
        <f t="shared" si="1"/>
        <v>0</v>
      </c>
      <c r="J17" s="35">
        <v>2</v>
      </c>
      <c r="K17" s="47">
        <f t="shared" si="2"/>
        <v>0</v>
      </c>
      <c r="L17" s="35">
        <v>20</v>
      </c>
      <c r="M17" s="47">
        <f t="shared" si="3"/>
        <v>0</v>
      </c>
      <c r="N17" s="35">
        <v>0</v>
      </c>
      <c r="O17" s="50">
        <f t="shared" si="4"/>
        <v>0</v>
      </c>
      <c r="P17" s="20"/>
      <c r="Q17" s="63">
        <f t="shared" si="5"/>
        <v>4.4694270833333354</v>
      </c>
      <c r="R17" s="69">
        <f t="shared" si="8"/>
        <v>13.050727083333335</v>
      </c>
      <c r="S17" s="72">
        <f t="shared" si="6"/>
        <v>0.65253635416666711</v>
      </c>
      <c r="T17" s="47">
        <f t="shared" si="9"/>
        <v>13.050727083333342</v>
      </c>
      <c r="U17" s="50">
        <f t="shared" si="10"/>
        <v>52.32500000000001</v>
      </c>
      <c r="V17" s="55"/>
      <c r="W17" s="84">
        <f t="shared" si="11"/>
        <v>107.26625</v>
      </c>
      <c r="X17" s="84">
        <f t="shared" si="16"/>
        <v>55.063341666666688</v>
      </c>
      <c r="Y17" s="84">
        <f t="shared" si="12"/>
        <v>-52.202908333333312</v>
      </c>
      <c r="Z17" s="84">
        <v>8</v>
      </c>
      <c r="AA17" s="83">
        <f t="shared" si="13"/>
        <v>35.755416666666683</v>
      </c>
      <c r="AB17" s="83">
        <f t="shared" si="14"/>
        <v>19.307925000000004</v>
      </c>
      <c r="AC17" s="83">
        <f t="shared" si="15"/>
        <v>52.32500000000001</v>
      </c>
      <c r="AD17" s="55"/>
      <c r="AE17" s="55"/>
      <c r="AF17" s="55"/>
    </row>
    <row r="18" spans="2:32" x14ac:dyDescent="0.2">
      <c r="B18" s="20">
        <v>8</v>
      </c>
      <c r="C18" s="24" t="s">
        <v>2</v>
      </c>
      <c r="D18" s="21">
        <v>9</v>
      </c>
      <c r="E18" s="53">
        <f t="shared" si="7"/>
        <v>10.726625000000002</v>
      </c>
      <c r="F18" s="43">
        <v>5</v>
      </c>
      <c r="G18" s="47">
        <f t="shared" si="0"/>
        <v>10.726625000000002</v>
      </c>
      <c r="H18" s="35">
        <v>15</v>
      </c>
      <c r="I18" s="47">
        <f t="shared" si="1"/>
        <v>0</v>
      </c>
      <c r="J18" s="35">
        <v>3</v>
      </c>
      <c r="K18" s="47">
        <f t="shared" si="2"/>
        <v>0</v>
      </c>
      <c r="L18" s="35">
        <v>0</v>
      </c>
      <c r="M18" s="47">
        <f t="shared" si="3"/>
        <v>0</v>
      </c>
      <c r="N18" s="35">
        <v>0</v>
      </c>
      <c r="O18" s="50">
        <f t="shared" si="4"/>
        <v>0</v>
      </c>
      <c r="P18" s="20"/>
      <c r="Q18" s="63">
        <f t="shared" si="5"/>
        <v>4.4694270833333354</v>
      </c>
      <c r="R18" s="69">
        <f t="shared" si="8"/>
        <v>15.196052083333338</v>
      </c>
      <c r="S18" s="72">
        <f t="shared" si="6"/>
        <v>0.75980260416666678</v>
      </c>
      <c r="T18" s="47">
        <f t="shared" si="9"/>
        <v>15.196052083333335</v>
      </c>
      <c r="U18" s="50">
        <f t="shared" si="10"/>
        <v>52.325000000000003</v>
      </c>
      <c r="V18" s="55"/>
      <c r="W18" s="84">
        <f t="shared" si="11"/>
        <v>120.67453125</v>
      </c>
      <c r="X18" s="84">
        <f t="shared" si="16"/>
        <v>70.259393750000029</v>
      </c>
      <c r="Y18" s="84">
        <f t="shared" si="12"/>
        <v>-50.415137499999972</v>
      </c>
      <c r="Z18" s="84">
        <v>9</v>
      </c>
      <c r="AA18" s="83">
        <f t="shared" si="13"/>
        <v>40.224843750000019</v>
      </c>
      <c r="AB18" s="83">
        <f t="shared" si="14"/>
        <v>30.034550000000007</v>
      </c>
      <c r="AC18" s="83">
        <f t="shared" si="15"/>
        <v>52.325000000000003</v>
      </c>
      <c r="AD18" s="55"/>
      <c r="AE18" s="55"/>
      <c r="AF18" s="55"/>
    </row>
    <row r="19" spans="2:32" x14ac:dyDescent="0.2">
      <c r="B19" s="20">
        <v>9</v>
      </c>
      <c r="C19" s="24" t="s">
        <v>2</v>
      </c>
      <c r="D19" s="21">
        <v>10</v>
      </c>
      <c r="E19" s="53">
        <f t="shared" si="7"/>
        <v>15.017275000000003</v>
      </c>
      <c r="F19" s="43">
        <v>7</v>
      </c>
      <c r="G19" s="47">
        <f t="shared" si="0"/>
        <v>15.017275000000003</v>
      </c>
      <c r="H19" s="35">
        <v>6</v>
      </c>
      <c r="I19" s="47">
        <f t="shared" si="1"/>
        <v>0</v>
      </c>
      <c r="J19" s="35">
        <v>5</v>
      </c>
      <c r="K19" s="47">
        <f t="shared" si="2"/>
        <v>0</v>
      </c>
      <c r="L19" s="35">
        <v>0</v>
      </c>
      <c r="M19" s="47">
        <f t="shared" si="3"/>
        <v>0</v>
      </c>
      <c r="N19" s="35">
        <v>0</v>
      </c>
      <c r="O19" s="50">
        <f t="shared" si="4"/>
        <v>0</v>
      </c>
      <c r="P19" s="20"/>
      <c r="Q19" s="63">
        <f t="shared" si="5"/>
        <v>4.4694270833333354</v>
      </c>
      <c r="R19" s="69">
        <f t="shared" si="8"/>
        <v>19.486702083333338</v>
      </c>
      <c r="S19" s="72">
        <f t="shared" si="6"/>
        <v>0.97433510416666702</v>
      </c>
      <c r="T19" s="47">
        <f t="shared" si="9"/>
        <v>19.486702083333341</v>
      </c>
      <c r="U19" s="50">
        <f t="shared" si="10"/>
        <v>52.325000000000003</v>
      </c>
      <c r="V19" s="55"/>
      <c r="W19" s="84">
        <f t="shared" si="11"/>
        <v>134.08281249999999</v>
      </c>
      <c r="X19" s="84">
        <f t="shared" si="16"/>
        <v>89.746095833333371</v>
      </c>
      <c r="Y19" s="84">
        <f t="shared" si="12"/>
        <v>-44.336716666666618</v>
      </c>
      <c r="Z19" s="84">
        <v>10</v>
      </c>
      <c r="AA19" s="83">
        <f t="shared" si="13"/>
        <v>44.694270833333356</v>
      </c>
      <c r="AB19" s="83">
        <f t="shared" si="14"/>
        <v>45.051825000000008</v>
      </c>
      <c r="AC19" s="83">
        <f t="shared" si="15"/>
        <v>52.325000000000003</v>
      </c>
      <c r="AD19" s="55"/>
      <c r="AE19" s="55"/>
      <c r="AF19" s="55"/>
    </row>
    <row r="20" spans="2:32" x14ac:dyDescent="0.2">
      <c r="B20" s="20">
        <v>10</v>
      </c>
      <c r="C20" s="24" t="s">
        <v>2</v>
      </c>
      <c r="D20" s="21">
        <v>11</v>
      </c>
      <c r="E20" s="53">
        <f t="shared" si="7"/>
        <v>17.162600000000001</v>
      </c>
      <c r="F20" s="43">
        <v>8</v>
      </c>
      <c r="G20" s="47">
        <f t="shared" si="0"/>
        <v>17.162600000000001</v>
      </c>
      <c r="H20" s="35">
        <v>5</v>
      </c>
      <c r="I20" s="47">
        <f t="shared" si="1"/>
        <v>0</v>
      </c>
      <c r="J20" s="35">
        <v>7</v>
      </c>
      <c r="K20" s="47">
        <f t="shared" si="2"/>
        <v>0</v>
      </c>
      <c r="L20" s="35">
        <v>0</v>
      </c>
      <c r="M20" s="47">
        <f t="shared" si="3"/>
        <v>0</v>
      </c>
      <c r="N20" s="35">
        <v>0</v>
      </c>
      <c r="O20" s="50">
        <f t="shared" si="4"/>
        <v>0</v>
      </c>
      <c r="P20" s="20"/>
      <c r="Q20" s="63">
        <f t="shared" si="5"/>
        <v>4.4694270833333354</v>
      </c>
      <c r="R20" s="69">
        <f t="shared" si="8"/>
        <v>21.632027083333337</v>
      </c>
      <c r="S20" s="72">
        <f t="shared" si="6"/>
        <v>1</v>
      </c>
      <c r="T20" s="47">
        <f t="shared" si="9"/>
        <v>20</v>
      </c>
      <c r="U20" s="50">
        <f t="shared" si="10"/>
        <v>50.692972916666662</v>
      </c>
      <c r="V20" s="55"/>
      <c r="W20" s="84">
        <f t="shared" si="11"/>
        <v>147.49109374999998</v>
      </c>
      <c r="X20" s="84">
        <f t="shared" si="16"/>
        <v>111.37812291666671</v>
      </c>
      <c r="Y20" s="84">
        <f t="shared" si="12"/>
        <v>-36.112970833333264</v>
      </c>
      <c r="Z20" s="84">
        <v>11</v>
      </c>
      <c r="AA20" s="83">
        <f t="shared" si="13"/>
        <v>49.163697916666692</v>
      </c>
      <c r="AB20" s="83">
        <f t="shared" si="14"/>
        <v>62.214425000000006</v>
      </c>
      <c r="AC20" s="83">
        <f t="shared" si="15"/>
        <v>50.692972916666662</v>
      </c>
      <c r="AD20" s="55"/>
      <c r="AE20" s="55"/>
      <c r="AF20" s="55"/>
    </row>
    <row r="21" spans="2:32" x14ac:dyDescent="0.2">
      <c r="B21" s="20">
        <v>11</v>
      </c>
      <c r="C21" s="24" t="s">
        <v>2</v>
      </c>
      <c r="D21" s="21">
        <v>12</v>
      </c>
      <c r="E21" s="53">
        <f t="shared" si="7"/>
        <v>12.871950000000002</v>
      </c>
      <c r="F21" s="43">
        <v>6</v>
      </c>
      <c r="G21" s="47">
        <f t="shared" si="0"/>
        <v>12.871950000000002</v>
      </c>
      <c r="H21" s="35">
        <v>10</v>
      </c>
      <c r="I21" s="47">
        <f t="shared" si="1"/>
        <v>0</v>
      </c>
      <c r="J21" s="35">
        <v>16</v>
      </c>
      <c r="K21" s="47">
        <f t="shared" si="2"/>
        <v>0</v>
      </c>
      <c r="L21" s="35">
        <v>0</v>
      </c>
      <c r="M21" s="47">
        <f t="shared" si="3"/>
        <v>0</v>
      </c>
      <c r="N21" s="35">
        <v>0</v>
      </c>
      <c r="O21" s="50">
        <f t="shared" si="4"/>
        <v>0</v>
      </c>
      <c r="P21" s="20"/>
      <c r="Q21" s="63">
        <f t="shared" si="5"/>
        <v>4.4694270833333354</v>
      </c>
      <c r="R21" s="69">
        <f t="shared" si="8"/>
        <v>17.341377083333338</v>
      </c>
      <c r="S21" s="72">
        <f t="shared" si="6"/>
        <v>0.94867020833333415</v>
      </c>
      <c r="T21" s="47">
        <f t="shared" si="9"/>
        <v>18.973404166666683</v>
      </c>
      <c r="U21" s="50">
        <f t="shared" si="10"/>
        <v>52.325000000000003</v>
      </c>
      <c r="V21" s="55"/>
      <c r="W21" s="84">
        <f t="shared" si="11"/>
        <v>160.89937499999996</v>
      </c>
      <c r="X21" s="84">
        <f t="shared" si="16"/>
        <v>128.71950000000004</v>
      </c>
      <c r="Y21" s="84">
        <f t="shared" si="12"/>
        <v>-32.179874999999925</v>
      </c>
      <c r="Z21" s="84">
        <v>12</v>
      </c>
      <c r="AA21" s="83">
        <f t="shared" si="13"/>
        <v>53.633125000000028</v>
      </c>
      <c r="AB21" s="83">
        <f t="shared" si="14"/>
        <v>75.086375000000004</v>
      </c>
      <c r="AC21" s="83">
        <f t="shared" si="15"/>
        <v>52.325000000000003</v>
      </c>
      <c r="AD21" s="55"/>
      <c r="AE21" s="55"/>
      <c r="AF21" s="55"/>
    </row>
    <row r="22" spans="2:32" x14ac:dyDescent="0.2">
      <c r="B22" s="20">
        <v>12</v>
      </c>
      <c r="C22" s="24" t="s">
        <v>2</v>
      </c>
      <c r="D22" s="21">
        <v>13</v>
      </c>
      <c r="E22" s="53">
        <f t="shared" si="7"/>
        <v>8.5813000000000006</v>
      </c>
      <c r="F22" s="43">
        <v>4</v>
      </c>
      <c r="G22" s="47">
        <f t="shared" si="0"/>
        <v>8.5813000000000006</v>
      </c>
      <c r="H22" s="35">
        <v>8</v>
      </c>
      <c r="I22" s="47">
        <f t="shared" si="1"/>
        <v>0</v>
      </c>
      <c r="J22" s="35">
        <v>15</v>
      </c>
      <c r="K22" s="47">
        <f t="shared" si="2"/>
        <v>0</v>
      </c>
      <c r="L22" s="35">
        <v>0</v>
      </c>
      <c r="M22" s="47">
        <f t="shared" si="3"/>
        <v>0</v>
      </c>
      <c r="N22" s="35">
        <v>0</v>
      </c>
      <c r="O22" s="50">
        <f t="shared" si="4"/>
        <v>0</v>
      </c>
      <c r="P22" s="20"/>
      <c r="Q22" s="63">
        <f t="shared" si="5"/>
        <v>4.4694270833333354</v>
      </c>
      <c r="R22" s="69">
        <f t="shared" si="8"/>
        <v>13.050727083333335</v>
      </c>
      <c r="S22" s="72">
        <f t="shared" si="6"/>
        <v>0.65253635416666711</v>
      </c>
      <c r="T22" s="47">
        <f t="shared" si="9"/>
        <v>13.050727083333342</v>
      </c>
      <c r="U22" s="50">
        <f t="shared" si="10"/>
        <v>52.32500000000001</v>
      </c>
      <c r="V22" s="55"/>
      <c r="W22" s="84">
        <f t="shared" si="11"/>
        <v>174.30765624999995</v>
      </c>
      <c r="X22" s="84">
        <f t="shared" si="16"/>
        <v>141.77022708333337</v>
      </c>
      <c r="Y22" s="84">
        <f t="shared" si="12"/>
        <v>-32.537429166666584</v>
      </c>
      <c r="Z22" s="84">
        <v>13</v>
      </c>
      <c r="AA22" s="83">
        <f t="shared" si="13"/>
        <v>58.102552083333364</v>
      </c>
      <c r="AB22" s="83">
        <f t="shared" si="14"/>
        <v>83.667675000000003</v>
      </c>
      <c r="AC22" s="83">
        <f t="shared" si="15"/>
        <v>52.32500000000001</v>
      </c>
      <c r="AD22" s="55"/>
      <c r="AE22" s="55"/>
      <c r="AF22" s="55"/>
    </row>
    <row r="23" spans="2:32" x14ac:dyDescent="0.2">
      <c r="B23" s="20">
        <v>13</v>
      </c>
      <c r="C23" s="24" t="s">
        <v>2</v>
      </c>
      <c r="D23" s="21">
        <v>14</v>
      </c>
      <c r="E23" s="53">
        <f t="shared" si="7"/>
        <v>4.2906500000000003</v>
      </c>
      <c r="F23" s="43">
        <v>2</v>
      </c>
      <c r="G23" s="47">
        <f t="shared" si="0"/>
        <v>4.2906500000000003</v>
      </c>
      <c r="H23" s="35">
        <v>4</v>
      </c>
      <c r="I23" s="47">
        <f t="shared" si="1"/>
        <v>0</v>
      </c>
      <c r="J23" s="35">
        <v>7</v>
      </c>
      <c r="K23" s="47">
        <f t="shared" si="2"/>
        <v>0</v>
      </c>
      <c r="L23" s="35">
        <v>0</v>
      </c>
      <c r="M23" s="47">
        <f t="shared" si="3"/>
        <v>0</v>
      </c>
      <c r="N23" s="35">
        <v>0</v>
      </c>
      <c r="O23" s="50">
        <f t="shared" si="4"/>
        <v>0</v>
      </c>
      <c r="P23" s="20"/>
      <c r="Q23" s="63">
        <f t="shared" si="5"/>
        <v>4.4694270833333354</v>
      </c>
      <c r="R23" s="69">
        <f t="shared" si="8"/>
        <v>8.7600770833333357</v>
      </c>
      <c r="S23" s="72">
        <f t="shared" si="6"/>
        <v>0.43800385416666643</v>
      </c>
      <c r="T23" s="47">
        <f t="shared" si="9"/>
        <v>8.7600770833333286</v>
      </c>
      <c r="U23" s="50">
        <f t="shared" si="10"/>
        <v>52.325000000000003</v>
      </c>
      <c r="V23" s="55"/>
      <c r="W23" s="84">
        <f t="shared" si="11"/>
        <v>187.71593749999994</v>
      </c>
      <c r="X23" s="84">
        <f t="shared" si="16"/>
        <v>150.5303041666667</v>
      </c>
      <c r="Y23" s="84">
        <f t="shared" si="12"/>
        <v>-37.185633333333243</v>
      </c>
      <c r="Z23" s="84">
        <v>14</v>
      </c>
      <c r="AA23" s="83">
        <f t="shared" si="13"/>
        <v>62.571979166666701</v>
      </c>
      <c r="AB23" s="83">
        <f t="shared" si="14"/>
        <v>87.958325000000002</v>
      </c>
      <c r="AC23" s="83">
        <f t="shared" si="15"/>
        <v>52.325000000000003</v>
      </c>
      <c r="AD23" s="55"/>
      <c r="AE23" s="55"/>
      <c r="AF23" s="55"/>
    </row>
    <row r="24" spans="2:32" x14ac:dyDescent="0.2">
      <c r="B24" s="20">
        <v>14</v>
      </c>
      <c r="C24" s="24" t="s">
        <v>2</v>
      </c>
      <c r="D24" s="21">
        <v>15</v>
      </c>
      <c r="E24" s="53">
        <f t="shared" si="7"/>
        <v>4.2906500000000003</v>
      </c>
      <c r="F24" s="43">
        <v>2</v>
      </c>
      <c r="G24" s="47">
        <f t="shared" si="0"/>
        <v>4.2906500000000003</v>
      </c>
      <c r="H24" s="35">
        <v>4</v>
      </c>
      <c r="I24" s="47">
        <f t="shared" si="1"/>
        <v>0</v>
      </c>
      <c r="J24" s="35">
        <v>5</v>
      </c>
      <c r="K24" s="47">
        <f t="shared" si="2"/>
        <v>0</v>
      </c>
      <c r="L24" s="35">
        <v>0</v>
      </c>
      <c r="M24" s="47">
        <f t="shared" si="3"/>
        <v>0</v>
      </c>
      <c r="N24" s="35">
        <v>0</v>
      </c>
      <c r="O24" s="50">
        <f t="shared" si="4"/>
        <v>0</v>
      </c>
      <c r="P24" s="20"/>
      <c r="Q24" s="63">
        <f t="shared" si="5"/>
        <v>4.4694270833333354</v>
      </c>
      <c r="R24" s="69">
        <f t="shared" si="8"/>
        <v>8.7600770833333357</v>
      </c>
      <c r="S24" s="72">
        <f t="shared" si="6"/>
        <v>0.43800385416666676</v>
      </c>
      <c r="T24" s="47">
        <f t="shared" si="9"/>
        <v>8.7600770833333357</v>
      </c>
      <c r="U24" s="50">
        <f t="shared" si="10"/>
        <v>52.325000000000003</v>
      </c>
      <c r="V24" s="55"/>
      <c r="W24" s="84">
        <f t="shared" si="11"/>
        <v>201.12421874999993</v>
      </c>
      <c r="X24" s="84">
        <f t="shared" si="16"/>
        <v>159.29038125000002</v>
      </c>
      <c r="Y24" s="84">
        <f t="shared" si="12"/>
        <v>-41.833837499999902</v>
      </c>
      <c r="Z24" s="84">
        <v>15</v>
      </c>
      <c r="AA24" s="83">
        <f t="shared" si="13"/>
        <v>67.041406250000037</v>
      </c>
      <c r="AB24" s="83">
        <f t="shared" si="14"/>
        <v>92.248975000000002</v>
      </c>
      <c r="AC24" s="83">
        <f t="shared" si="15"/>
        <v>52.325000000000003</v>
      </c>
      <c r="AD24" s="55"/>
      <c r="AE24" s="55"/>
      <c r="AF24" s="55"/>
    </row>
    <row r="25" spans="2:32" x14ac:dyDescent="0.2">
      <c r="B25" s="20">
        <v>15</v>
      </c>
      <c r="C25" s="24" t="s">
        <v>2</v>
      </c>
      <c r="D25" s="21">
        <v>16</v>
      </c>
      <c r="E25" s="53">
        <f t="shared" si="7"/>
        <v>6.4359750000000009</v>
      </c>
      <c r="F25" s="43">
        <v>3</v>
      </c>
      <c r="G25" s="47">
        <f t="shared" si="0"/>
        <v>6.4359750000000009</v>
      </c>
      <c r="H25" s="35">
        <v>8</v>
      </c>
      <c r="I25" s="47">
        <f t="shared" si="1"/>
        <v>0</v>
      </c>
      <c r="J25" s="35">
        <v>4</v>
      </c>
      <c r="K25" s="47">
        <f t="shared" si="2"/>
        <v>0</v>
      </c>
      <c r="L25" s="35">
        <v>0</v>
      </c>
      <c r="M25" s="47">
        <f t="shared" si="3"/>
        <v>0</v>
      </c>
      <c r="N25" s="35">
        <v>0</v>
      </c>
      <c r="O25" s="50">
        <f t="shared" si="4"/>
        <v>0</v>
      </c>
      <c r="P25" s="20"/>
      <c r="Q25" s="63">
        <f t="shared" si="5"/>
        <v>4.4694270833333354</v>
      </c>
      <c r="R25" s="69">
        <f t="shared" si="8"/>
        <v>10.905402083333335</v>
      </c>
      <c r="S25" s="72">
        <f t="shared" si="6"/>
        <v>0.54527010416666677</v>
      </c>
      <c r="T25" s="47">
        <f t="shared" si="9"/>
        <v>10.905402083333335</v>
      </c>
      <c r="U25" s="50">
        <f t="shared" si="10"/>
        <v>52.325000000000003</v>
      </c>
      <c r="V25" s="55"/>
      <c r="W25" s="84">
        <f t="shared" si="11"/>
        <v>214.53249999999991</v>
      </c>
      <c r="X25" s="84">
        <f t="shared" si="16"/>
        <v>170.19578333333337</v>
      </c>
      <c r="Y25" s="84">
        <f t="shared" si="12"/>
        <v>-44.336716666666547</v>
      </c>
      <c r="Z25" s="84">
        <v>16</v>
      </c>
      <c r="AA25" s="83">
        <f t="shared" si="13"/>
        <v>71.510833333333366</v>
      </c>
      <c r="AB25" s="83">
        <f t="shared" si="14"/>
        <v>98.684950000000001</v>
      </c>
      <c r="AC25" s="83">
        <f t="shared" si="15"/>
        <v>52.325000000000003</v>
      </c>
      <c r="AD25" s="55"/>
      <c r="AE25" s="55"/>
      <c r="AF25" s="55"/>
    </row>
    <row r="26" spans="2:32" x14ac:dyDescent="0.2">
      <c r="B26" s="20">
        <v>16</v>
      </c>
      <c r="C26" s="24" t="s">
        <v>2</v>
      </c>
      <c r="D26" s="21">
        <v>17</v>
      </c>
      <c r="E26" s="53">
        <f t="shared" si="7"/>
        <v>12.871950000000002</v>
      </c>
      <c r="F26" s="43">
        <v>6</v>
      </c>
      <c r="G26" s="47">
        <f t="shared" si="0"/>
        <v>12.871950000000002</v>
      </c>
      <c r="H26" s="35">
        <v>25</v>
      </c>
      <c r="I26" s="47">
        <f t="shared" si="1"/>
        <v>0</v>
      </c>
      <c r="J26" s="35">
        <v>4</v>
      </c>
      <c r="K26" s="47">
        <f t="shared" si="2"/>
        <v>0</v>
      </c>
      <c r="L26" s="35">
        <v>0</v>
      </c>
      <c r="M26" s="47">
        <f t="shared" si="3"/>
        <v>0</v>
      </c>
      <c r="N26" s="35">
        <v>100</v>
      </c>
      <c r="O26" s="50">
        <f t="shared" si="4"/>
        <v>0</v>
      </c>
      <c r="P26" s="20"/>
      <c r="Q26" s="63">
        <f t="shared" si="5"/>
        <v>4.4694270833333354</v>
      </c>
      <c r="R26" s="69">
        <f t="shared" si="8"/>
        <v>17.341377083333338</v>
      </c>
      <c r="S26" s="72">
        <f t="shared" si="6"/>
        <v>0.86706885416666712</v>
      </c>
      <c r="T26" s="47">
        <f t="shared" si="9"/>
        <v>17.341377083333342</v>
      </c>
      <c r="U26" s="50">
        <f t="shared" si="10"/>
        <v>52.325000000000003</v>
      </c>
      <c r="V26" s="55"/>
      <c r="W26" s="84">
        <f t="shared" si="11"/>
        <v>227.9407812499999</v>
      </c>
      <c r="X26" s="84">
        <f t="shared" si="16"/>
        <v>187.53716041666669</v>
      </c>
      <c r="Y26" s="84">
        <f t="shared" si="12"/>
        <v>-40.403620833333207</v>
      </c>
      <c r="Z26" s="84">
        <v>17</v>
      </c>
      <c r="AA26" s="83">
        <f t="shared" si="13"/>
        <v>75.980260416666695</v>
      </c>
      <c r="AB26" s="83">
        <f t="shared" si="14"/>
        <v>111.5569</v>
      </c>
      <c r="AC26" s="83">
        <f t="shared" si="15"/>
        <v>52.325000000000003</v>
      </c>
      <c r="AD26" s="55"/>
      <c r="AE26" s="55"/>
      <c r="AF26" s="55"/>
    </row>
    <row r="27" spans="2:32" x14ac:dyDescent="0.2">
      <c r="B27" s="20">
        <v>17</v>
      </c>
      <c r="C27" s="24" t="s">
        <v>2</v>
      </c>
      <c r="D27" s="21">
        <v>18</v>
      </c>
      <c r="E27" s="53">
        <f t="shared" si="7"/>
        <v>47.197150000000008</v>
      </c>
      <c r="F27" s="43">
        <v>22</v>
      </c>
      <c r="G27" s="47">
        <f t="shared" si="0"/>
        <v>47.197150000000008</v>
      </c>
      <c r="H27" s="35">
        <v>8</v>
      </c>
      <c r="I27" s="47">
        <f t="shared" si="1"/>
        <v>0</v>
      </c>
      <c r="J27" s="35">
        <v>5</v>
      </c>
      <c r="K27" s="47">
        <f t="shared" si="2"/>
        <v>0</v>
      </c>
      <c r="L27" s="35">
        <v>20</v>
      </c>
      <c r="M27" s="47">
        <f t="shared" si="3"/>
        <v>0</v>
      </c>
      <c r="N27" s="35">
        <v>0</v>
      </c>
      <c r="O27" s="50">
        <f t="shared" si="4"/>
        <v>0</v>
      </c>
      <c r="P27" s="20"/>
      <c r="Q27" s="63">
        <f t="shared" si="5"/>
        <v>4.4694270833333354</v>
      </c>
      <c r="R27" s="69">
        <f t="shared" si="8"/>
        <v>51.666577083333344</v>
      </c>
      <c r="S27" s="72">
        <f t="shared" si="6"/>
        <v>1</v>
      </c>
      <c r="T27" s="47">
        <f t="shared" si="9"/>
        <v>20</v>
      </c>
      <c r="U27" s="50">
        <f t="shared" si="10"/>
        <v>20.658422916666659</v>
      </c>
      <c r="V27" s="55"/>
      <c r="W27" s="84">
        <f t="shared" si="11"/>
        <v>241.34906249999989</v>
      </c>
      <c r="X27" s="84">
        <f t="shared" si="16"/>
        <v>239.20373750000005</v>
      </c>
      <c r="Y27" s="84">
        <f t="shared" si="12"/>
        <v>-2.1453249999998434</v>
      </c>
      <c r="Z27" s="84">
        <v>18</v>
      </c>
      <c r="AA27" s="83">
        <f t="shared" si="13"/>
        <v>80.449687500000024</v>
      </c>
      <c r="AB27" s="83">
        <f t="shared" si="14"/>
        <v>158.75405000000001</v>
      </c>
      <c r="AC27" s="83">
        <f t="shared" si="15"/>
        <v>20.658422916666659</v>
      </c>
      <c r="AD27" s="55"/>
      <c r="AE27" s="55"/>
      <c r="AF27" s="55"/>
    </row>
    <row r="28" spans="2:32" x14ac:dyDescent="0.2">
      <c r="B28" s="20">
        <v>18</v>
      </c>
      <c r="C28" s="24" t="s">
        <v>2</v>
      </c>
      <c r="D28" s="21">
        <v>19</v>
      </c>
      <c r="E28" s="53">
        <f t="shared" si="7"/>
        <v>25.743900000000004</v>
      </c>
      <c r="F28" s="43">
        <v>12</v>
      </c>
      <c r="G28" s="47">
        <f t="shared" si="0"/>
        <v>25.743900000000004</v>
      </c>
      <c r="H28" s="35">
        <v>3</v>
      </c>
      <c r="I28" s="47">
        <f t="shared" si="1"/>
        <v>0</v>
      </c>
      <c r="J28" s="35">
        <v>6</v>
      </c>
      <c r="K28" s="47">
        <f t="shared" si="2"/>
        <v>0</v>
      </c>
      <c r="L28" s="35">
        <v>20</v>
      </c>
      <c r="M28" s="47">
        <f t="shared" si="3"/>
        <v>0</v>
      </c>
      <c r="N28" s="35">
        <v>0</v>
      </c>
      <c r="O28" s="50">
        <f t="shared" si="4"/>
        <v>0</v>
      </c>
      <c r="P28" s="20"/>
      <c r="Q28" s="63">
        <f t="shared" si="5"/>
        <v>4.4694270833333354</v>
      </c>
      <c r="R28" s="69">
        <f t="shared" si="8"/>
        <v>30.21332708333334</v>
      </c>
      <c r="S28" s="72">
        <f t="shared" si="6"/>
        <v>1</v>
      </c>
      <c r="T28" s="47">
        <f t="shared" si="9"/>
        <v>20</v>
      </c>
      <c r="U28" s="50">
        <f t="shared" si="10"/>
        <v>10.445095833333319</v>
      </c>
      <c r="V28" s="55"/>
      <c r="W28" s="84">
        <f t="shared" si="11"/>
        <v>254.75734374999988</v>
      </c>
      <c r="X28" s="84">
        <f t="shared" si="16"/>
        <v>269.4170645833334</v>
      </c>
      <c r="Y28" s="84">
        <f t="shared" si="12"/>
        <v>14.659720833333523</v>
      </c>
      <c r="Z28" s="84">
        <v>19</v>
      </c>
      <c r="AA28" s="83">
        <f t="shared" si="13"/>
        <v>84.919114583333354</v>
      </c>
      <c r="AB28" s="83">
        <f t="shared" si="14"/>
        <v>184.49795</v>
      </c>
      <c r="AC28" s="83">
        <f t="shared" si="15"/>
        <v>10.445095833333319</v>
      </c>
      <c r="AD28" s="55"/>
      <c r="AE28" s="55"/>
      <c r="AF28" s="55"/>
    </row>
    <row r="29" spans="2:32" x14ac:dyDescent="0.2">
      <c r="B29" s="20">
        <v>19</v>
      </c>
      <c r="C29" s="24" t="s">
        <v>2</v>
      </c>
      <c r="D29" s="21">
        <v>20</v>
      </c>
      <c r="E29" s="53">
        <f t="shared" si="7"/>
        <v>15.017275000000003</v>
      </c>
      <c r="F29" s="43">
        <v>7</v>
      </c>
      <c r="G29" s="47">
        <f t="shared" si="0"/>
        <v>15.017275000000003</v>
      </c>
      <c r="H29" s="35">
        <v>1</v>
      </c>
      <c r="I29" s="47">
        <f t="shared" si="1"/>
        <v>0</v>
      </c>
      <c r="J29" s="35">
        <v>7</v>
      </c>
      <c r="K29" s="47">
        <f t="shared" si="2"/>
        <v>0</v>
      </c>
      <c r="L29" s="35">
        <v>20</v>
      </c>
      <c r="M29" s="47">
        <f t="shared" si="3"/>
        <v>0</v>
      </c>
      <c r="N29" s="35">
        <v>0</v>
      </c>
      <c r="O29" s="50">
        <f t="shared" si="4"/>
        <v>0</v>
      </c>
      <c r="P29" s="20"/>
      <c r="Q29" s="63">
        <f t="shared" si="5"/>
        <v>4.4694270833333354</v>
      </c>
      <c r="R29" s="69">
        <f t="shared" si="8"/>
        <v>19.486702083333338</v>
      </c>
      <c r="S29" s="72">
        <f t="shared" si="6"/>
        <v>1</v>
      </c>
      <c r="T29" s="47">
        <f t="shared" si="9"/>
        <v>20</v>
      </c>
      <c r="U29" s="50">
        <f t="shared" si="10"/>
        <v>10.958393749999981</v>
      </c>
      <c r="V29" s="55"/>
      <c r="W29" s="84">
        <f t="shared" si="11"/>
        <v>268.16562499999986</v>
      </c>
      <c r="X29" s="84">
        <f t="shared" si="16"/>
        <v>288.90376666666674</v>
      </c>
      <c r="Y29" s="84">
        <f t="shared" si="12"/>
        <v>20.738141666666877</v>
      </c>
      <c r="Z29" s="84">
        <v>20</v>
      </c>
      <c r="AA29" s="83">
        <f t="shared" si="13"/>
        <v>89.388541666666683</v>
      </c>
      <c r="AB29" s="83">
        <f t="shared" si="14"/>
        <v>199.51522500000002</v>
      </c>
      <c r="AC29" s="83">
        <f t="shared" si="15"/>
        <v>10.958393749999981</v>
      </c>
      <c r="AD29" s="55"/>
      <c r="AE29" s="55"/>
      <c r="AF29" s="55"/>
    </row>
    <row r="30" spans="2:32" x14ac:dyDescent="0.2">
      <c r="B30" s="20">
        <v>20</v>
      </c>
      <c r="C30" s="24" t="s">
        <v>2</v>
      </c>
      <c r="D30" s="21">
        <v>21</v>
      </c>
      <c r="E30" s="53">
        <f t="shared" si="7"/>
        <v>6.4359750000000009</v>
      </c>
      <c r="F30" s="43">
        <v>3</v>
      </c>
      <c r="G30" s="47">
        <f t="shared" si="0"/>
        <v>6.4359750000000009</v>
      </c>
      <c r="H30" s="35">
        <v>0</v>
      </c>
      <c r="I30" s="47">
        <f t="shared" si="1"/>
        <v>0</v>
      </c>
      <c r="J30" s="35">
        <v>7</v>
      </c>
      <c r="K30" s="47">
        <f t="shared" si="2"/>
        <v>0</v>
      </c>
      <c r="L30" s="35">
        <v>0</v>
      </c>
      <c r="M30" s="47">
        <f t="shared" si="3"/>
        <v>0</v>
      </c>
      <c r="N30" s="35">
        <v>0</v>
      </c>
      <c r="O30" s="50">
        <f t="shared" si="4"/>
        <v>0</v>
      </c>
      <c r="P30" s="20"/>
      <c r="Q30" s="63">
        <f t="shared" si="5"/>
        <v>4.4694270833333354</v>
      </c>
      <c r="R30" s="69">
        <f t="shared" si="8"/>
        <v>10.905402083333335</v>
      </c>
      <c r="S30" s="72">
        <f t="shared" si="6"/>
        <v>1</v>
      </c>
      <c r="T30" s="47">
        <f t="shared" si="9"/>
        <v>20</v>
      </c>
      <c r="U30" s="50">
        <f t="shared" si="10"/>
        <v>20.052991666666646</v>
      </c>
      <c r="V30" s="55"/>
      <c r="W30" s="84">
        <f t="shared" si="11"/>
        <v>281.57390624999988</v>
      </c>
      <c r="X30" s="84">
        <f t="shared" si="16"/>
        <v>299.80916875000008</v>
      </c>
      <c r="Y30" s="84">
        <f t="shared" si="12"/>
        <v>18.235262500000204</v>
      </c>
      <c r="Z30" s="84">
        <v>21</v>
      </c>
      <c r="AA30" s="83">
        <f t="shared" si="13"/>
        <v>93.857968750000012</v>
      </c>
      <c r="AB30" s="83">
        <f t="shared" si="14"/>
        <v>205.95120000000003</v>
      </c>
      <c r="AC30" s="83">
        <f t="shared" si="15"/>
        <v>20.052991666666646</v>
      </c>
      <c r="AD30" s="55"/>
      <c r="AE30" s="55"/>
      <c r="AF30" s="55"/>
    </row>
    <row r="31" spans="2:32" x14ac:dyDescent="0.2">
      <c r="B31" s="20">
        <v>21</v>
      </c>
      <c r="C31" s="24" t="s">
        <v>2</v>
      </c>
      <c r="D31" s="21">
        <v>22</v>
      </c>
      <c r="E31" s="53">
        <f t="shared" si="7"/>
        <v>4.2906500000000003</v>
      </c>
      <c r="F31" s="43">
        <v>2</v>
      </c>
      <c r="G31" s="47">
        <f t="shared" si="0"/>
        <v>4.2906500000000003</v>
      </c>
      <c r="H31" s="35">
        <v>0</v>
      </c>
      <c r="I31" s="47">
        <f t="shared" si="1"/>
        <v>0</v>
      </c>
      <c r="J31" s="35">
        <v>3</v>
      </c>
      <c r="K31" s="47">
        <f t="shared" si="2"/>
        <v>0</v>
      </c>
      <c r="L31" s="35">
        <v>0</v>
      </c>
      <c r="M31" s="47">
        <f t="shared" si="3"/>
        <v>0</v>
      </c>
      <c r="N31" s="35">
        <v>0</v>
      </c>
      <c r="O31" s="50">
        <f t="shared" si="4"/>
        <v>0</v>
      </c>
      <c r="P31" s="20"/>
      <c r="Q31" s="63">
        <f t="shared" si="5"/>
        <v>4.4694270833333354</v>
      </c>
      <c r="R31" s="69">
        <f t="shared" si="8"/>
        <v>8.7600770833333357</v>
      </c>
      <c r="S31" s="72">
        <f t="shared" si="6"/>
        <v>1</v>
      </c>
      <c r="T31" s="47">
        <f t="shared" si="9"/>
        <v>20</v>
      </c>
      <c r="U31" s="50">
        <f t="shared" si="10"/>
        <v>31.292914583333307</v>
      </c>
      <c r="V31" s="55"/>
      <c r="W31" s="84">
        <f t="shared" si="11"/>
        <v>294.9821874999999</v>
      </c>
      <c r="X31" s="84">
        <f t="shared" si="16"/>
        <v>308.56924583333341</v>
      </c>
      <c r="Y31" s="84">
        <f t="shared" si="12"/>
        <v>13.587058333333516</v>
      </c>
      <c r="Z31" s="84">
        <v>22</v>
      </c>
      <c r="AA31" s="83">
        <f t="shared" si="13"/>
        <v>98.327395833333341</v>
      </c>
      <c r="AB31" s="83">
        <f t="shared" si="14"/>
        <v>210.24185000000003</v>
      </c>
      <c r="AC31" s="83">
        <f t="shared" si="15"/>
        <v>31.292914583333307</v>
      </c>
      <c r="AD31" s="55"/>
      <c r="AE31" s="55"/>
      <c r="AF31" s="55"/>
    </row>
    <row r="32" spans="2:32" x14ac:dyDescent="0.2">
      <c r="B32" s="20">
        <v>22</v>
      </c>
      <c r="C32" s="24" t="s">
        <v>2</v>
      </c>
      <c r="D32" s="21">
        <v>23</v>
      </c>
      <c r="E32" s="53">
        <f t="shared" si="7"/>
        <v>2.1453250000000001</v>
      </c>
      <c r="F32" s="43">
        <v>1</v>
      </c>
      <c r="G32" s="47">
        <f t="shared" si="0"/>
        <v>2.1453250000000001</v>
      </c>
      <c r="H32" s="35">
        <v>0</v>
      </c>
      <c r="I32" s="47">
        <f t="shared" si="1"/>
        <v>0</v>
      </c>
      <c r="J32" s="35">
        <v>1</v>
      </c>
      <c r="K32" s="47">
        <f t="shared" si="2"/>
        <v>0</v>
      </c>
      <c r="L32" s="35">
        <v>0</v>
      </c>
      <c r="M32" s="47">
        <f t="shared" si="3"/>
        <v>0</v>
      </c>
      <c r="N32" s="35">
        <v>0</v>
      </c>
      <c r="O32" s="50">
        <f t="shared" si="4"/>
        <v>0</v>
      </c>
      <c r="P32" s="20"/>
      <c r="Q32" s="63">
        <f t="shared" si="5"/>
        <v>4.4694270833333354</v>
      </c>
      <c r="R32" s="69">
        <f t="shared" si="8"/>
        <v>6.614752083333336</v>
      </c>
      <c r="S32" s="72">
        <f t="shared" si="6"/>
        <v>1</v>
      </c>
      <c r="T32" s="47">
        <f t="shared" si="9"/>
        <v>20</v>
      </c>
      <c r="U32" s="50">
        <f t="shared" si="10"/>
        <v>44.678162499999971</v>
      </c>
      <c r="V32" s="55"/>
      <c r="W32" s="84">
        <f t="shared" si="11"/>
        <v>308.39046874999991</v>
      </c>
      <c r="X32" s="84">
        <f t="shared" si="16"/>
        <v>315.18399791666673</v>
      </c>
      <c r="Y32" s="84">
        <f t="shared" si="12"/>
        <v>6.7935291666668149</v>
      </c>
      <c r="Z32" s="84">
        <v>23</v>
      </c>
      <c r="AA32" s="83">
        <f t="shared" si="13"/>
        <v>102.79682291666667</v>
      </c>
      <c r="AB32" s="83">
        <f t="shared" si="14"/>
        <v>212.38717500000004</v>
      </c>
      <c r="AC32" s="83">
        <f t="shared" si="15"/>
        <v>44.678162499999971</v>
      </c>
      <c r="AD32" s="55"/>
      <c r="AE32" s="55"/>
      <c r="AF32" s="55"/>
    </row>
    <row r="33" spans="2:29" ht="13.5" thickBot="1" x14ac:dyDescent="0.25">
      <c r="B33" s="25">
        <v>23</v>
      </c>
      <c r="C33" s="26" t="s">
        <v>2</v>
      </c>
      <c r="D33" s="27">
        <v>24</v>
      </c>
      <c r="E33" s="54">
        <f t="shared" si="7"/>
        <v>2.1453250000000001</v>
      </c>
      <c r="F33" s="44">
        <v>1</v>
      </c>
      <c r="G33" s="48">
        <f t="shared" si="0"/>
        <v>2.1453250000000001</v>
      </c>
      <c r="H33" s="45">
        <v>0</v>
      </c>
      <c r="I33" s="48">
        <f t="shared" si="1"/>
        <v>0</v>
      </c>
      <c r="J33" s="45">
        <v>1</v>
      </c>
      <c r="K33" s="48">
        <f t="shared" si="2"/>
        <v>0</v>
      </c>
      <c r="L33" s="45">
        <v>0</v>
      </c>
      <c r="M33" s="48">
        <f t="shared" si="3"/>
        <v>0</v>
      </c>
      <c r="N33" s="45">
        <v>0</v>
      </c>
      <c r="O33" s="51">
        <f t="shared" si="4"/>
        <v>0</v>
      </c>
      <c r="P33" s="22"/>
      <c r="Q33" s="64">
        <f t="shared" si="5"/>
        <v>4.4694270833333354</v>
      </c>
      <c r="R33" s="70">
        <f t="shared" si="8"/>
        <v>6.614752083333336</v>
      </c>
      <c r="S33" s="73">
        <f t="shared" si="6"/>
        <v>0.71307947916666836</v>
      </c>
      <c r="T33" s="48">
        <f t="shared" si="9"/>
        <v>14.261589583333368</v>
      </c>
      <c r="U33" s="51">
        <f t="shared" si="10"/>
        <v>52.325000000000003</v>
      </c>
      <c r="W33" s="84">
        <f t="shared" si="11"/>
        <v>321.79874999999993</v>
      </c>
      <c r="X33" s="84">
        <f t="shared" si="16"/>
        <v>321.79875000000004</v>
      </c>
      <c r="Y33" s="84">
        <f t="shared" si="12"/>
        <v>0</v>
      </c>
      <c r="Z33" s="84">
        <v>24</v>
      </c>
      <c r="AA33" s="83">
        <f t="shared" si="13"/>
        <v>107.26625</v>
      </c>
      <c r="AB33" s="83">
        <f t="shared" si="14"/>
        <v>214.53250000000006</v>
      </c>
      <c r="AC33" s="83">
        <f t="shared" si="15"/>
        <v>52.325000000000003</v>
      </c>
    </row>
    <row r="34" spans="2:29" x14ac:dyDescent="0.2">
      <c r="B34" s="28" t="s">
        <v>3</v>
      </c>
      <c r="C34" s="29"/>
      <c r="D34" s="33" t="s">
        <v>9</v>
      </c>
      <c r="E34" s="66"/>
      <c r="F34" s="40">
        <f>SUM(F10:F33)</f>
        <v>100</v>
      </c>
      <c r="G34" s="7"/>
      <c r="H34" s="41">
        <f>SUM(H10:H33)</f>
        <v>100</v>
      </c>
      <c r="I34" s="7"/>
      <c r="J34" s="41">
        <f>SUM(J10:J33)</f>
        <v>100</v>
      </c>
      <c r="K34" s="7"/>
      <c r="L34" s="41">
        <f>SUM(L10:L33)</f>
        <v>100</v>
      </c>
      <c r="M34" s="7"/>
      <c r="N34" s="41">
        <f>SUM(N10:N33)</f>
        <v>100</v>
      </c>
      <c r="O34" s="8"/>
      <c r="P34" s="57"/>
      <c r="Q34" s="61"/>
      <c r="R34" s="251">
        <f>SUM(R10:R33)</f>
        <v>321.79875000000004</v>
      </c>
      <c r="W34" s="85"/>
      <c r="X34" s="85"/>
      <c r="Y34" s="85"/>
      <c r="Z34" s="85"/>
      <c r="AA34" s="85"/>
      <c r="AB34" s="85"/>
      <c r="AC34" s="85"/>
    </row>
    <row r="35" spans="2:29" ht="13.5" thickBot="1" x14ac:dyDescent="0.25">
      <c r="B35" s="30"/>
      <c r="C35" s="31"/>
      <c r="D35" s="32" t="s">
        <v>10</v>
      </c>
      <c r="E35" s="65">
        <f>SUM(E10:E33)</f>
        <v>214.53250000000006</v>
      </c>
      <c r="F35" s="253">
        <f>uzi</f>
        <v>214.53250000000003</v>
      </c>
      <c r="G35" s="254"/>
      <c r="H35" s="255">
        <f>per</f>
        <v>0</v>
      </c>
      <c r="I35" s="253"/>
      <c r="J35" s="255">
        <f>gas</f>
        <v>0</v>
      </c>
      <c r="K35" s="253"/>
      <c r="L35" s="255">
        <f>ukl</f>
        <v>0</v>
      </c>
      <c r="M35" s="253"/>
      <c r="N35" s="255">
        <f>ost</f>
        <v>0</v>
      </c>
      <c r="O35" s="256"/>
      <c r="P35" s="257">
        <f>SUM(Q10:Q33)</f>
        <v>107.26625</v>
      </c>
      <c r="Q35" s="258"/>
      <c r="R35" s="252"/>
      <c r="W35" s="85"/>
      <c r="X35" s="85" t="s">
        <v>62</v>
      </c>
      <c r="Y35" s="84">
        <f>MIN(Y10:Y33)</f>
        <v>-52.202908333333312</v>
      </c>
      <c r="Z35" s="84"/>
      <c r="AA35" s="85"/>
      <c r="AB35" s="85"/>
      <c r="AC35" s="85"/>
    </row>
    <row r="36" spans="2:29" x14ac:dyDescent="0.2">
      <c r="W36" s="85"/>
      <c r="X36" s="85" t="s">
        <v>63</v>
      </c>
      <c r="Y36" s="84">
        <f>MAX(Y10:Y33)</f>
        <v>20.738141666666877</v>
      </c>
      <c r="Z36" s="84"/>
      <c r="AA36" s="85"/>
      <c r="AB36" s="85"/>
      <c r="AC36" s="85"/>
    </row>
    <row r="37" spans="2:29" x14ac:dyDescent="0.2">
      <c r="W37" s="85"/>
      <c r="X37" s="85"/>
      <c r="Y37" s="84">
        <f>Y36-Y35</f>
        <v>72.941050000000189</v>
      </c>
      <c r="Z37" s="84"/>
      <c r="AA37" s="85"/>
      <c r="AB37" s="85"/>
      <c r="AC37" s="85"/>
    </row>
    <row r="39" spans="2:29" x14ac:dyDescent="0.2">
      <c r="B39" t="s">
        <v>12</v>
      </c>
    </row>
    <row r="40" spans="2:29" x14ac:dyDescent="0.2">
      <c r="C40" t="s">
        <v>103</v>
      </c>
      <c r="G40" s="55">
        <f>spot/24</f>
        <v>13.40828125</v>
      </c>
      <c r="H40" t="s">
        <v>15</v>
      </c>
    </row>
    <row r="41" spans="2:29" ht="14.25" x14ac:dyDescent="0.2">
      <c r="C41" t="s">
        <v>14</v>
      </c>
      <c r="G41" s="71">
        <f>J41*3600/4186/45</f>
        <v>1.3940000000000035</v>
      </c>
      <c r="H41" t="s">
        <v>16</v>
      </c>
      <c r="I41" s="38" t="s">
        <v>54</v>
      </c>
      <c r="J41" s="55">
        <f>Y37</f>
        <v>72.941050000000189</v>
      </c>
      <c r="K41" t="s">
        <v>10</v>
      </c>
    </row>
    <row r="42" spans="2:29" x14ac:dyDescent="0.2">
      <c r="B42" t="s">
        <v>13</v>
      </c>
      <c r="I42" s="38"/>
    </row>
    <row r="43" spans="2:29" x14ac:dyDescent="0.2">
      <c r="C43" s="88" t="s">
        <v>103</v>
      </c>
      <c r="D43" s="88"/>
      <c r="E43" s="88"/>
      <c r="F43" s="88"/>
      <c r="G43" s="112">
        <v>19</v>
      </c>
      <c r="H43" s="88" t="s">
        <v>15</v>
      </c>
      <c r="I43" s="38"/>
    </row>
    <row r="44" spans="2:29" ht="14.25" x14ac:dyDescent="0.2">
      <c r="C44" s="88" t="s">
        <v>14</v>
      </c>
      <c r="D44" s="88"/>
      <c r="E44" s="88"/>
      <c r="F44" s="88"/>
      <c r="G44" s="112">
        <v>2</v>
      </c>
      <c r="H44" s="88" t="s">
        <v>78</v>
      </c>
      <c r="I44" s="38" t="s">
        <v>54</v>
      </c>
      <c r="J44">
        <f>G44*4186*45/3600</f>
        <v>104.65</v>
      </c>
      <c r="K44" t="s">
        <v>10</v>
      </c>
    </row>
    <row r="45" spans="2:29" x14ac:dyDescent="0.2">
      <c r="C45" t="s">
        <v>58</v>
      </c>
      <c r="G45" s="82">
        <v>42</v>
      </c>
      <c r="H45" t="s">
        <v>10</v>
      </c>
      <c r="I45" t="s">
        <v>64</v>
      </c>
    </row>
    <row r="47" spans="2:29" x14ac:dyDescent="0.2">
      <c r="B47" s="3" t="s">
        <v>17</v>
      </c>
    </row>
    <row r="48" spans="2:29" x14ac:dyDescent="0.2">
      <c r="B48" t="s">
        <v>41</v>
      </c>
      <c r="G48" s="39">
        <f>G49*J49+G50*J50+G51*J51+G52*J52+G53*J53</f>
        <v>110.00000000000001</v>
      </c>
      <c r="H48" t="s">
        <v>10</v>
      </c>
    </row>
    <row r="49" spans="2:11" x14ac:dyDescent="0.2">
      <c r="C49" t="s">
        <v>19</v>
      </c>
      <c r="G49" s="4">
        <v>0</v>
      </c>
      <c r="H49" t="s">
        <v>18</v>
      </c>
      <c r="I49" s="38"/>
      <c r="J49">
        <v>4.3</v>
      </c>
      <c r="K49" t="s">
        <v>32</v>
      </c>
    </row>
    <row r="50" spans="2:11" x14ac:dyDescent="0.2">
      <c r="C50" t="s">
        <v>20</v>
      </c>
      <c r="G50" s="4">
        <v>0</v>
      </c>
      <c r="H50" t="s">
        <v>18</v>
      </c>
      <c r="I50" s="38"/>
      <c r="J50">
        <v>3.5</v>
      </c>
      <c r="K50" t="s">
        <v>32</v>
      </c>
    </row>
    <row r="51" spans="2:11" x14ac:dyDescent="0.2">
      <c r="C51" t="s">
        <v>21</v>
      </c>
      <c r="G51" s="4">
        <v>0</v>
      </c>
      <c r="H51" t="s">
        <v>18</v>
      </c>
      <c r="I51" s="38"/>
      <c r="J51">
        <v>2.5</v>
      </c>
      <c r="K51" t="s">
        <v>32</v>
      </c>
    </row>
    <row r="52" spans="2:11" x14ac:dyDescent="0.2">
      <c r="C52" t="s">
        <v>22</v>
      </c>
      <c r="G52" s="4">
        <v>0</v>
      </c>
      <c r="H52" t="s">
        <v>23</v>
      </c>
      <c r="I52" s="38"/>
      <c r="J52">
        <v>10</v>
      </c>
      <c r="K52" t="s">
        <v>32</v>
      </c>
    </row>
    <row r="53" spans="2:11" x14ac:dyDescent="0.2">
      <c r="C53" t="s">
        <v>38</v>
      </c>
      <c r="G53" s="4">
        <v>50</v>
      </c>
      <c r="H53" t="s">
        <v>39</v>
      </c>
      <c r="I53" s="38"/>
      <c r="J53">
        <v>2.2000000000000002</v>
      </c>
      <c r="K53" t="s">
        <v>40</v>
      </c>
    </row>
    <row r="54" spans="2:11" x14ac:dyDescent="0.2">
      <c r="B54" t="s">
        <v>42</v>
      </c>
      <c r="G54" s="39">
        <f>G55*J55+G56*J56</f>
        <v>46</v>
      </c>
      <c r="H54" t="s">
        <v>10</v>
      </c>
    </row>
    <row r="55" spans="2:11" x14ac:dyDescent="0.2">
      <c r="C55" t="s">
        <v>24</v>
      </c>
      <c r="G55" s="4">
        <v>30</v>
      </c>
      <c r="H55" t="s">
        <v>18</v>
      </c>
      <c r="I55" s="38"/>
      <c r="J55">
        <v>0.8</v>
      </c>
      <c r="K55" t="s">
        <v>31</v>
      </c>
    </row>
    <row r="56" spans="2:11" x14ac:dyDescent="0.2">
      <c r="C56" t="s">
        <v>25</v>
      </c>
      <c r="G56" s="4">
        <v>10</v>
      </c>
      <c r="H56" t="s">
        <v>18</v>
      </c>
      <c r="I56" s="38"/>
      <c r="J56">
        <v>2.2000000000000002</v>
      </c>
      <c r="K56" t="s">
        <v>31</v>
      </c>
    </row>
    <row r="57" spans="2:11" x14ac:dyDescent="0.2">
      <c r="B57" t="s">
        <v>43</v>
      </c>
      <c r="G57" s="39">
        <f>G58*J58+G59*J59+G60*J60</f>
        <v>60</v>
      </c>
      <c r="H57" t="s">
        <v>10</v>
      </c>
    </row>
    <row r="58" spans="2:11" x14ac:dyDescent="0.2">
      <c r="C58" t="s">
        <v>26</v>
      </c>
      <c r="G58" s="4">
        <v>400</v>
      </c>
      <c r="H58" t="s">
        <v>29</v>
      </c>
      <c r="I58" s="38"/>
      <c r="J58">
        <v>0.1</v>
      </c>
      <c r="K58" t="s">
        <v>30</v>
      </c>
    </row>
    <row r="59" spans="2:11" x14ac:dyDescent="0.2">
      <c r="C59" t="s">
        <v>27</v>
      </c>
      <c r="G59" s="4">
        <v>0</v>
      </c>
      <c r="H59" t="s">
        <v>29</v>
      </c>
      <c r="I59" s="38"/>
      <c r="J59">
        <v>0.15</v>
      </c>
      <c r="K59" t="s">
        <v>30</v>
      </c>
    </row>
    <row r="60" spans="2:11" x14ac:dyDescent="0.2">
      <c r="C60" t="s">
        <v>28</v>
      </c>
      <c r="G60" s="4">
        <v>100</v>
      </c>
      <c r="H60" t="s">
        <v>29</v>
      </c>
      <c r="I60" s="38"/>
      <c r="J60">
        <v>0.2</v>
      </c>
      <c r="K60" t="s">
        <v>30</v>
      </c>
    </row>
    <row r="61" spans="2:11" x14ac:dyDescent="0.2">
      <c r="B61" t="s">
        <v>44</v>
      </c>
      <c r="G61" s="39">
        <f>F62*J62/100</f>
        <v>80</v>
      </c>
      <c r="H61" t="s">
        <v>10</v>
      </c>
    </row>
    <row r="62" spans="2:11" ht="14.25" x14ac:dyDescent="0.2">
      <c r="C62" t="s">
        <v>33</v>
      </c>
      <c r="F62" s="250">
        <v>10000</v>
      </c>
      <c r="G62" s="250"/>
      <c r="H62" t="s">
        <v>35</v>
      </c>
      <c r="I62" s="38"/>
      <c r="J62">
        <v>0.8</v>
      </c>
      <c r="K62" t="s">
        <v>34</v>
      </c>
    </row>
    <row r="63" spans="2:11" x14ac:dyDescent="0.2">
      <c r="B63" t="s">
        <v>45</v>
      </c>
      <c r="G63" s="39">
        <f>G64*4186*45/3600</f>
        <v>0</v>
      </c>
      <c r="H63" t="s">
        <v>10</v>
      </c>
    </row>
    <row r="64" spans="2:11" ht="14.25" x14ac:dyDescent="0.2">
      <c r="C64" t="s">
        <v>36</v>
      </c>
      <c r="G64" s="4">
        <v>0</v>
      </c>
      <c r="H64" t="s">
        <v>37</v>
      </c>
    </row>
    <row r="65" spans="13:13" x14ac:dyDescent="0.2">
      <c r="M65" s="38"/>
    </row>
  </sheetData>
  <sheetProtection algorithmName="SHA-512" hashValue="vVgxSpbt2UealP569p09tcdSYOP2g1+5lD9w7YwYEJwo7f8WZg6lHVrwnezxzyBGVHJTv5WgWrD4KdmnRIajdQ==" saltValue="9+XOXmsw36ZIbCoPxMOvgA==" spinCount="100000" sheet="1" objects="1" scenarios="1"/>
  <mergeCells count="25">
    <mergeCell ref="A2:E2"/>
    <mergeCell ref="A3:E3"/>
    <mergeCell ref="A4:E4"/>
    <mergeCell ref="A5:E5"/>
    <mergeCell ref="Z7:AC7"/>
    <mergeCell ref="W7:Y7"/>
    <mergeCell ref="B8:D8"/>
    <mergeCell ref="F8:G8"/>
    <mergeCell ref="H8:I8"/>
    <mergeCell ref="J8:K8"/>
    <mergeCell ref="L8:M8"/>
    <mergeCell ref="N8:O8"/>
    <mergeCell ref="P8:Q8"/>
    <mergeCell ref="S8:T8"/>
    <mergeCell ref="E7:O7"/>
    <mergeCell ref="P7:Q7"/>
    <mergeCell ref="S7:T7"/>
    <mergeCell ref="F62:G62"/>
    <mergeCell ref="R34:R35"/>
    <mergeCell ref="F35:G35"/>
    <mergeCell ref="H35:I35"/>
    <mergeCell ref="J35:K35"/>
    <mergeCell ref="L35:M35"/>
    <mergeCell ref="N35:O35"/>
    <mergeCell ref="P35:Q35"/>
  </mergeCells>
  <phoneticPr fontId="7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10</vt:i4>
      </vt:variant>
    </vt:vector>
  </HeadingPairs>
  <TitlesOfParts>
    <vt:vector size="13" baseType="lpstr">
      <vt:lpstr>TV</vt:lpstr>
      <vt:lpstr>tisk</vt:lpstr>
      <vt:lpstr>návod</vt:lpstr>
      <vt:lpstr>aku</vt:lpstr>
      <vt:lpstr>ele</vt:lpstr>
      <vt:lpstr>gas</vt:lpstr>
      <vt:lpstr>ost</vt:lpstr>
      <vt:lpstr>per</vt:lpstr>
      <vt:lpstr>pot</vt:lpstr>
      <vt:lpstr>spot</vt:lpstr>
      <vt:lpstr>ukl</vt:lpstr>
      <vt:lpstr>uzi</vt:lpstr>
      <vt:lpstr>ztv</vt:lpstr>
    </vt:vector>
  </TitlesOfParts>
  <Company>METROPROJEKT Praha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Dimenzování ohřevu teplé vody</dc:title>
  <dc:subject>TUV</dc:subject>
  <dc:creator>Beber</dc:creator>
  <cp:keywords>TUV</cp:keywords>
  <cp:lastModifiedBy>Filip Špindler</cp:lastModifiedBy>
  <cp:lastPrinted>2018-08-03T07:19:37Z</cp:lastPrinted>
  <dcterms:created xsi:type="dcterms:W3CDTF">2006-08-14T08:17:55Z</dcterms:created>
  <dcterms:modified xsi:type="dcterms:W3CDTF">2026-04-28T11:23:54Z</dcterms:modified>
  <cp:category>šablona výpočtu</cp:category>
</cp:coreProperties>
</file>