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etr.michal\Desktop\IVT cloud\Programy\IVT_software\"/>
    </mc:Choice>
  </mc:AlternateContent>
  <bookViews>
    <workbookView xWindow="0" yWindow="0" windowWidth="18960" windowHeight="6990" tabRatio="690" firstSheet="1" activeTab="2"/>
  </bookViews>
  <sheets>
    <sheet name="Teorie" sheetId="1" state="hidden" r:id="rId1"/>
    <sheet name="Návod" sheetId="3" r:id="rId2"/>
    <sheet name="Výpočet tlakových ztrát" sheetId="2" r:id="rId3"/>
    <sheet name="Vzorový příklad" sheetId="8" r:id="rId4"/>
    <sheet name="Použité vzorce" sheetId="7" r:id="rId5"/>
    <sheet name="Graf PE potrubí" sheetId="5" state="hidden" r:id="rId6"/>
    <sheet name="Grafy filtrballů" sheetId="4" r:id="rId7"/>
    <sheet name="Nemrznoucí směs" sheetId="6" r:id="rId8"/>
  </sheets>
  <definedNames>
    <definedName name="_xlnm.Print_Area" localSheetId="2">'Výpočet tlakových ztrát'!$B$28:$AC$45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F41" i="2" l="1"/>
  <c r="F42" i="2"/>
  <c r="C63" i="2"/>
  <c r="F40" i="2"/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C69" i="2" l="1"/>
  <c r="D69" i="2" s="1"/>
  <c r="D63" i="2"/>
  <c r="G42" i="2" s="1"/>
  <c r="C57" i="2"/>
  <c r="D57" i="2" s="1"/>
  <c r="G41" i="2" s="1"/>
  <c r="D51" i="2"/>
  <c r="G40" i="2" l="1"/>
  <c r="H40" i="2" s="1"/>
  <c r="I40" i="2" s="1"/>
  <c r="H14" i="8"/>
  <c r="T41" i="2" l="1"/>
  <c r="T42" i="2"/>
  <c r="T43" i="2"/>
  <c r="T40" i="2"/>
  <c r="C51" i="7" l="1"/>
  <c r="E34" i="2"/>
  <c r="E36" i="2" s="1"/>
  <c r="F43" i="2"/>
  <c r="G43" i="2" s="1"/>
  <c r="E4" i="2"/>
  <c r="Y45" i="1"/>
  <c r="B70" i="1"/>
  <c r="E47" i="1"/>
  <c r="S45" i="1"/>
  <c r="S46" i="1"/>
  <c r="S47" i="1"/>
  <c r="B64" i="1"/>
  <c r="E46" i="1"/>
  <c r="S44" i="1"/>
  <c r="E45" i="1"/>
  <c r="E44" i="1"/>
  <c r="B58" i="1"/>
  <c r="B52" i="1"/>
  <c r="E39" i="1"/>
  <c r="E38" i="1"/>
  <c r="E37" i="1"/>
  <c r="E33" i="1"/>
  <c r="C64" i="1" s="1"/>
  <c r="F46" i="1" s="1"/>
  <c r="E34" i="1"/>
  <c r="E35" i="1"/>
  <c r="E36" i="1"/>
  <c r="E32" i="1"/>
  <c r="D26" i="1"/>
  <c r="H42" i="2" l="1"/>
  <c r="I42" i="2" s="1"/>
  <c r="C58" i="1"/>
  <c r="F45" i="1" s="1"/>
  <c r="C70" i="1"/>
  <c r="G46" i="1"/>
  <c r="H46" i="1" s="1"/>
  <c r="I46" i="1" s="1"/>
  <c r="J46" i="1" s="1"/>
  <c r="K46" i="1" s="1"/>
  <c r="T46" i="1"/>
  <c r="C52" i="1"/>
  <c r="O21" i="1"/>
  <c r="N19" i="1"/>
  <c r="N18" i="1"/>
  <c r="O14" i="1"/>
  <c r="N12" i="1"/>
  <c r="N11" i="1"/>
  <c r="O7" i="1"/>
  <c r="N5" i="1"/>
  <c r="N4" i="1"/>
  <c r="G14" i="1"/>
  <c r="F12" i="1"/>
  <c r="F11" i="1"/>
  <c r="G21" i="1"/>
  <c r="F19" i="1"/>
  <c r="F18" i="1"/>
  <c r="G7" i="1"/>
  <c r="F5" i="1"/>
  <c r="F4" i="1"/>
  <c r="J42" i="2" l="1"/>
  <c r="K42" i="2" s="1"/>
  <c r="L42" i="2" s="1"/>
  <c r="H43" i="2"/>
  <c r="I43" i="2" s="1"/>
  <c r="U43" i="2"/>
  <c r="AA43" i="2" s="1"/>
  <c r="AB43" i="2" s="1"/>
  <c r="U42" i="2"/>
  <c r="AA42" i="2" s="1"/>
  <c r="AB42" i="2" s="1"/>
  <c r="J40" i="2"/>
  <c r="K40" i="2" s="1"/>
  <c r="L40" i="2" s="1"/>
  <c r="U40" i="2"/>
  <c r="AA40" i="2" s="1"/>
  <c r="AB40" i="2" s="1"/>
  <c r="H41" i="2"/>
  <c r="I41" i="2" s="1"/>
  <c r="J41" i="2" s="1"/>
  <c r="K41" i="2" s="1"/>
  <c r="L41" i="2" s="1"/>
  <c r="U41" i="2"/>
  <c r="AA41" i="2" s="1"/>
  <c r="AB41" i="2" s="1"/>
  <c r="Y46" i="1"/>
  <c r="Z46" i="1" s="1"/>
  <c r="AA46" i="1" s="1"/>
  <c r="G45" i="1"/>
  <c r="H45" i="1" s="1"/>
  <c r="I45" i="1" s="1"/>
  <c r="T45" i="1"/>
  <c r="Z45" i="1" s="1"/>
  <c r="F44" i="1"/>
  <c r="G44" i="1" s="1"/>
  <c r="H44" i="1" s="1"/>
  <c r="I44" i="1" s="1"/>
  <c r="J44" i="1" s="1"/>
  <c r="K44" i="1" s="1"/>
  <c r="F47" i="1"/>
  <c r="J45" i="1"/>
  <c r="K45" i="1" s="1"/>
  <c r="AC40" i="2" l="1"/>
  <c r="AC42" i="2"/>
  <c r="J43" i="2"/>
  <c r="K43" i="2" s="1"/>
  <c r="AA45" i="1"/>
  <c r="G47" i="1"/>
  <c r="H47" i="1" s="1"/>
  <c r="I47" i="1" s="1"/>
  <c r="J47" i="1" s="1"/>
  <c r="K47" i="1" s="1"/>
  <c r="T47" i="1"/>
  <c r="T44" i="1"/>
  <c r="L43" i="2" l="1"/>
  <c r="AC43" i="2" s="1"/>
  <c r="AC41" i="2"/>
  <c r="Y47" i="1"/>
  <c r="Z47" i="1" s="1"/>
  <c r="AA47" i="1" s="1"/>
  <c r="Y44" i="1"/>
  <c r="Z44" i="1" s="1"/>
  <c r="AA44" i="1" s="1"/>
  <c r="AC44" i="2" l="1"/>
  <c r="AA48" i="1"/>
</calcChain>
</file>

<file path=xl/comments1.xml><?xml version="1.0" encoding="utf-8"?>
<comments xmlns="http://schemas.openxmlformats.org/spreadsheetml/2006/main">
  <authors>
    <author>Michal Petr</author>
  </authors>
  <commentList>
    <comment ref="D43" authorId="0" shapeId="0">
      <text>
        <r>
          <rPr>
            <sz val="9"/>
            <color indexed="81"/>
            <rFont val="Tahoma"/>
            <family val="2"/>
            <charset val="238"/>
          </rPr>
          <t>Hmotnostní průtok</t>
        </r>
      </text>
    </comment>
    <comment ref="E43" authorId="0" shapeId="0">
      <text>
        <r>
          <rPr>
            <sz val="9"/>
            <color indexed="81"/>
            <rFont val="Tahoma"/>
            <family val="2"/>
            <charset val="238"/>
          </rPr>
          <t>Objemový průtok</t>
        </r>
      </text>
    </comment>
    <comment ref="G43" authorId="0" shapeId="0">
      <text>
        <r>
          <rPr>
            <sz val="9"/>
            <color indexed="81"/>
            <rFont val="Tahoma"/>
            <family val="2"/>
            <charset val="238"/>
          </rPr>
          <t>Reynoldsovo číslo</t>
        </r>
      </text>
    </comment>
    <comment ref="H43" authorId="0" shapeId="0">
      <text>
        <r>
          <rPr>
            <sz val="9"/>
            <color indexed="81"/>
            <rFont val="Tahoma"/>
            <family val="2"/>
            <charset val="238"/>
          </rPr>
          <t>Součinitel třecích ztrát</t>
        </r>
      </text>
    </comment>
    <comment ref="I43" authorId="0" shapeId="0">
      <text>
        <r>
          <rPr>
            <sz val="9"/>
            <color indexed="81"/>
            <rFont val="Tahoma"/>
            <family val="2"/>
            <charset val="238"/>
          </rPr>
          <t>Tlaková ztráta třením na 1m potrubí.</t>
        </r>
      </text>
    </comment>
    <comment ref="J43" authorId="0" shapeId="0">
      <text>
        <r>
          <rPr>
            <sz val="9"/>
            <color indexed="81"/>
            <rFont val="Tahoma"/>
            <family val="2"/>
            <charset val="238"/>
          </rPr>
          <t>Tlaková ztráta třením pro vodu.</t>
        </r>
      </text>
    </comment>
    <comment ref="K43" authorId="0" shapeId="0">
      <text>
        <r>
          <rPr>
            <sz val="9"/>
            <color indexed="81"/>
            <rFont val="Tahoma"/>
            <family val="2"/>
            <charset val="238"/>
          </rPr>
          <t>Tlaková ztráta třením pro nemrznoucí směs.</t>
        </r>
      </text>
    </comment>
    <comment ref="U43" authorId="0" shapeId="0">
      <text>
        <r>
          <rPr>
            <sz val="9"/>
            <color indexed="81"/>
            <rFont val="Tahoma"/>
            <family val="2"/>
            <charset val="238"/>
          </rPr>
          <t>Z grafu pro filtrball pro příslušnou dimenzi a průtok.</t>
        </r>
      </text>
    </comment>
    <comment ref="V43" authorId="0" shapeId="0">
      <text>
        <r>
          <rPr>
            <sz val="9"/>
            <color indexed="81"/>
            <rFont val="Tahoma"/>
            <family val="2"/>
            <charset val="238"/>
          </rPr>
          <t>Např. 3-cestný ventil pro aktivní chlazení nebo regulační ventil v šachtě.</t>
        </r>
      </text>
    </comment>
    <comment ref="W43" authorId="0" shapeId="0">
      <text>
        <r>
          <rPr>
            <sz val="9"/>
            <color indexed="81"/>
            <rFont val="Tahoma"/>
            <family val="2"/>
            <charset val="238"/>
          </rPr>
          <t>Opět např. ventil pro aktivní chlazení nebo nějaký ventil STAD pro kontrolu měření průtoku.</t>
        </r>
      </text>
    </comment>
    <comment ref="X43" authorId="0" shapeId="0">
      <text>
        <r>
          <rPr>
            <sz val="9"/>
            <color indexed="81"/>
            <rFont val="Tahoma"/>
            <family val="2"/>
            <charset val="238"/>
          </rPr>
          <t>Pokud již není odečtena v diagramu interního oběhového čerpadla primáru.</t>
        </r>
      </text>
    </comment>
    <comment ref="Y43" authorId="0" shapeId="0">
      <text>
        <r>
          <rPr>
            <sz val="9"/>
            <color indexed="81"/>
            <rFont val="Tahoma"/>
            <family val="2"/>
            <charset val="238"/>
          </rPr>
          <t>Tlaková ztráta vřazenými odpory pro vodu.</t>
        </r>
      </text>
    </comment>
    <comment ref="Z43" authorId="0" shapeId="0">
      <text>
        <r>
          <rPr>
            <sz val="9"/>
            <color indexed="81"/>
            <rFont val="Tahoma"/>
            <family val="2"/>
            <charset val="238"/>
          </rPr>
          <t>Tlaková ztráta vřazenými odpory pro nemrznoucí směs.</t>
        </r>
      </text>
    </comment>
    <comment ref="AA43" authorId="0" shapeId="0">
      <text>
        <r>
          <rPr>
            <sz val="9"/>
            <color indexed="81"/>
            <rFont val="Tahoma"/>
            <family val="2"/>
            <charset val="238"/>
          </rPr>
          <t>Součet tlakové ztráty třením a vřazenými odpory.</t>
        </r>
      </text>
    </comment>
  </commentList>
</comments>
</file>

<file path=xl/comments2.xml><?xml version="1.0" encoding="utf-8"?>
<comments xmlns="http://schemas.openxmlformats.org/spreadsheetml/2006/main">
  <authors>
    <author>Michal Petr</author>
  </authors>
  <commentList>
    <comment ref="E31" authorId="0" shapeId="0">
      <text>
        <r>
          <rPr>
            <sz val="8"/>
            <color indexed="81"/>
            <rFont val="Tahoma"/>
            <family val="2"/>
            <charset val="238"/>
          </rPr>
          <t>Obvykle při vstupní teplotě nemrznoucí směsi do výparníku 0°C.</t>
        </r>
      </text>
    </comment>
    <comment ref="E32" authorId="0" shapeId="0">
      <text>
        <r>
          <rPr>
            <sz val="8"/>
            <color indexed="81"/>
            <rFont val="Tahoma"/>
            <family val="2"/>
            <charset val="238"/>
          </rPr>
          <t>Doporučeno 3-4K.</t>
        </r>
      </text>
    </comment>
    <comment ref="E34" authorId="0" shapeId="0">
      <text>
        <r>
          <rPr>
            <sz val="8"/>
            <color indexed="81"/>
            <rFont val="Tahoma"/>
            <family val="2"/>
            <charset val="238"/>
          </rPr>
          <t>Pro Thermofrost L:voda 1:2, 4282 J/(kg.K).</t>
        </r>
      </text>
    </comment>
    <comment ref="E36" authorId="0" shapeId="0">
      <text>
        <r>
          <rPr>
            <sz val="8"/>
            <color indexed="81"/>
            <rFont val="Tahoma"/>
            <family val="2"/>
            <charset val="238"/>
          </rPr>
          <t>Pro Thermofrost L:voda 1:2, 4282 J/(kg.K).</t>
        </r>
      </text>
    </comment>
    <comment ref="U37" authorId="0" shapeId="0">
      <text>
        <r>
          <rPr>
            <sz val="8"/>
            <color indexed="81"/>
            <rFont val="Tahoma"/>
            <family val="2"/>
            <charset val="238"/>
          </rPr>
          <t>Pro vodu.</t>
        </r>
      </text>
    </comment>
    <comment ref="V37" authorId="0" shapeId="0">
      <text>
        <r>
          <rPr>
            <sz val="8"/>
            <color indexed="81"/>
            <rFont val="Tahoma"/>
            <family val="2"/>
            <charset val="238"/>
          </rPr>
          <t>Ze záložky "Grafy filtrballů" pro příslušnou dimenzi a průtok vody.</t>
        </r>
      </text>
    </comment>
    <comment ref="W37" authorId="0" shapeId="0">
      <text>
        <r>
          <rPr>
            <sz val="8"/>
            <color indexed="81"/>
            <rFont val="Tahoma"/>
            <family val="2"/>
            <charset val="238"/>
          </rPr>
          <t>Např. pro 3-cestný ventil pro aktivní chlazení - použijte graf příslušného ventilu pro vodu.</t>
        </r>
      </text>
    </comment>
    <comment ref="X37" authorId="0" shapeId="0">
      <text>
        <r>
          <rPr>
            <sz val="8"/>
            <color indexed="81"/>
            <rFont val="Tahoma"/>
            <family val="2"/>
            <charset val="238"/>
          </rPr>
          <t>Např. pro 3-cestný ventil pro aktivní chlazení popř. nějaký ventil STAD pro měření průtoku použijte graf příslušného ventilu pro vodu.</t>
        </r>
      </text>
    </comment>
    <comment ref="Y37" authorId="0" shapeId="0">
      <text>
        <r>
          <rPr>
            <sz val="8"/>
            <color indexed="81"/>
            <rFont val="Tahoma"/>
            <family val="2"/>
            <charset val="238"/>
          </rPr>
          <t>Bývá stanovena již pro nemrznoucí směs v podkladech některých výrobců. Někdy je odečtena již v grafu oběhového čerpadla a pak se sem nedoplňuje.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37" authorId="0" shapeId="0">
      <text>
        <r>
          <rPr>
            <sz val="8"/>
            <color indexed="81"/>
            <rFont val="Tahoma"/>
            <family val="2"/>
            <charset val="238"/>
          </rPr>
          <t>Sledujte list "Použité vzorce" a graf tlakové ztráty vratného U-kolena.</t>
        </r>
      </text>
    </comment>
    <comment ref="AA37" authorId="0" shapeId="0">
      <text>
        <r>
          <rPr>
            <sz val="14"/>
            <color indexed="81"/>
            <rFont val="Tahoma"/>
            <family val="2"/>
            <charset val="238"/>
          </rPr>
          <t>Tlaková ztráta armatur, filtrballu, ventilů pro vodu.</t>
        </r>
      </text>
    </comment>
    <comment ref="AB37" authorId="0" shapeId="0">
      <text>
        <r>
          <rPr>
            <sz val="8"/>
            <color indexed="81"/>
            <rFont val="Tahoma"/>
            <family val="2"/>
            <charset val="238"/>
          </rPr>
          <t xml:space="preserve">Tlaková ztráta vřazenými odpory pro nemrznoucí směs. Zahrnuje i tlakovou ztrátu výparníku a vratného U-kolena.
</t>
        </r>
      </text>
    </comment>
    <comment ref="E39" authorId="0" shapeId="0">
      <text>
        <r>
          <rPr>
            <sz val="8"/>
            <color indexed="81"/>
            <rFont val="Tahoma"/>
            <family val="2"/>
            <charset val="238"/>
          </rPr>
          <t>Hmotnostní průtok v daném úseku potrubí.</t>
        </r>
      </text>
    </comment>
    <comment ref="F39" authorId="0" shapeId="0">
      <text>
        <r>
          <rPr>
            <sz val="9"/>
            <color indexed="81"/>
            <rFont val="Tahoma"/>
            <family val="2"/>
            <charset val="238"/>
          </rPr>
          <t>Objemový průtok</t>
        </r>
      </text>
    </comment>
    <comment ref="H39" authorId="0" shapeId="0">
      <text>
        <r>
          <rPr>
            <sz val="9"/>
            <color indexed="81"/>
            <rFont val="Tahoma"/>
            <family val="2"/>
            <charset val="238"/>
          </rPr>
          <t>Reynoldsovo číslo</t>
        </r>
      </text>
    </comment>
    <comment ref="I39" authorId="0" shapeId="0">
      <text>
        <r>
          <rPr>
            <sz val="9"/>
            <color indexed="81"/>
            <rFont val="Tahoma"/>
            <family val="2"/>
            <charset val="238"/>
          </rPr>
          <t>Součinitel třecích ztrát</t>
        </r>
      </text>
    </comment>
    <comment ref="J39" authorId="0" shapeId="0">
      <text>
        <r>
          <rPr>
            <sz val="8"/>
            <color indexed="81"/>
            <rFont val="Tahoma"/>
            <family val="2"/>
            <charset val="238"/>
          </rPr>
          <t>Tlaková ztráta třením na 1m potrubí pro vodu.</t>
        </r>
      </text>
    </comment>
    <comment ref="K39" authorId="0" shapeId="0">
      <text>
        <r>
          <rPr>
            <sz val="9"/>
            <color indexed="81"/>
            <rFont val="Tahoma"/>
            <family val="2"/>
            <charset val="238"/>
          </rPr>
          <t>Tlaková ztráta třením pro vodu.</t>
        </r>
      </text>
    </comment>
    <comment ref="L39" authorId="0" shapeId="0">
      <text>
        <r>
          <rPr>
            <sz val="8"/>
            <color indexed="81"/>
            <rFont val="Tahoma"/>
            <family val="2"/>
            <charset val="238"/>
          </rPr>
          <t>Celková tlaková ztráta třením pro nemrznoucí směs.</t>
        </r>
      </text>
    </comment>
  </commentList>
</comments>
</file>

<file path=xl/sharedStrings.xml><?xml version="1.0" encoding="utf-8"?>
<sst xmlns="http://schemas.openxmlformats.org/spreadsheetml/2006/main" count="250" uniqueCount="164">
  <si>
    <t>40x3.7</t>
  </si>
  <si>
    <t xml:space="preserve">Dimenze [mm] </t>
  </si>
  <si>
    <t>Tlaková ztráta [Pa/m]</t>
  </si>
  <si>
    <t>Rychlost kapaliny [m/s]</t>
  </si>
  <si>
    <t>Teplota [°C]</t>
  </si>
  <si>
    <t>Hustota [kg/m3]</t>
  </si>
  <si>
    <t>Hmotnostní průtok [kg/s]</t>
  </si>
  <si>
    <t>Objemový průtok  [m3/s]</t>
  </si>
  <si>
    <t>35x1.5</t>
  </si>
  <si>
    <t>2x větší průtok při 0°C znamená 3.4x větší tlakovou ztrátu</t>
  </si>
  <si>
    <t>Měď</t>
  </si>
  <si>
    <t>32x2.9</t>
  </si>
  <si>
    <t>Plast</t>
  </si>
  <si>
    <t>Vše vypsáno pro vodu o teplotě 0°C</t>
  </si>
  <si>
    <t>Vše vypsáno pro vodu o teplotě 20°C</t>
  </si>
  <si>
    <t>2x větší průtok při 20°C znamená 3.4x větší tlakovou ztrátu</t>
  </si>
  <si>
    <t>2x větší průtok při 20°C znamená 3.45x větší tlakovou ztrátu</t>
  </si>
  <si>
    <t>2x větší průtok při 20°C znamená 3.48x větší tlakovou ztrátu</t>
  </si>
  <si>
    <t>Viskozita vody 0°C</t>
  </si>
  <si>
    <t>m2/s</t>
  </si>
  <si>
    <t>Viskozita nemrzky 1:2</t>
  </si>
  <si>
    <t>Poměr viskozit</t>
  </si>
  <si>
    <t>dimenze</t>
  </si>
  <si>
    <t>Vnitřní průměr
[m]</t>
  </si>
  <si>
    <t>Plocha průřezu 
[m2]</t>
  </si>
  <si>
    <t>Laminární prouděni Re&lt;2100 nebo 2300 (literatura se liší)</t>
  </si>
  <si>
    <t>Přechodová oblast 2300&lt;Re&lt;6000</t>
  </si>
  <si>
    <t>Turbulentní proudění Re&gt;6000</t>
  </si>
  <si>
    <t>Průtok</t>
  </si>
  <si>
    <t xml:space="preserve">Hustota vody </t>
  </si>
  <si>
    <t>kg/m3</t>
  </si>
  <si>
    <t>Hustota nemrzky 1:2</t>
  </si>
  <si>
    <t>m [kg/s]</t>
  </si>
  <si>
    <t>V [m3/s]</t>
  </si>
  <si>
    <t xml:space="preserve"> w [m/s]</t>
  </si>
  <si>
    <t>Re [-]</t>
  </si>
  <si>
    <r>
      <rPr>
        <sz val="11"/>
        <color theme="1"/>
        <rFont val="Calibri"/>
        <family val="2"/>
        <charset val="238"/>
      </rPr>
      <t>λ</t>
    </r>
    <r>
      <rPr>
        <sz val="11"/>
        <color theme="1"/>
        <rFont val="Calibri"/>
        <family val="2"/>
        <charset val="238"/>
        <scheme val="minor"/>
      </rPr>
      <t xml:space="preserve">[-] </t>
    </r>
    <r>
      <rPr>
        <sz val="7.7"/>
        <color theme="1"/>
        <rFont val="Calibri"/>
        <family val="2"/>
        <charset val="238"/>
        <scheme val="minor"/>
      </rPr>
      <t xml:space="preserve"> </t>
    </r>
  </si>
  <si>
    <t>Délka L [m]</t>
  </si>
  <si>
    <t>R[Pa/m]</t>
  </si>
  <si>
    <t>ΔPzt,W [Pa]</t>
  </si>
  <si>
    <t>ΔPzt,NS [Pa]</t>
  </si>
  <si>
    <t>PE 32x2.9</t>
  </si>
  <si>
    <t>PE 40x3.7</t>
  </si>
  <si>
    <t>PE 50x4.6</t>
  </si>
  <si>
    <t>PE 63x5.8</t>
  </si>
  <si>
    <t>PE 75x6.8</t>
  </si>
  <si>
    <t>Cu 28x1.5</t>
  </si>
  <si>
    <t>Cu 35x1.5</t>
  </si>
  <si>
    <t>Cu 42x1.5</t>
  </si>
  <si>
    <t>Vnitřní průměr</t>
  </si>
  <si>
    <t>Vybráno</t>
  </si>
  <si>
    <t>Plocha průřezu</t>
  </si>
  <si>
    <t>1. úsek potrubí</t>
  </si>
  <si>
    <t>2. úsek potrubí</t>
  </si>
  <si>
    <t>3. úsek potrubí</t>
  </si>
  <si>
    <t>4. úsek potrubí</t>
  </si>
  <si>
    <t>Počet KK</t>
  </si>
  <si>
    <t>Tlaková
 ztráta ventilu 1 [Pa]</t>
  </si>
  <si>
    <t>Počet T-kusů</t>
  </si>
  <si>
    <t>Redukce počtu větví</t>
  </si>
  <si>
    <t>Redukce počtu 
větví</t>
  </si>
  <si>
    <t>Tlaková ztráta filtrballu [Pa]</t>
  </si>
  <si>
    <t>Počet kolen 90°</t>
  </si>
  <si>
    <t>Počet TKK</t>
  </si>
  <si>
    <t>Tlaková ztráta vřazenými odpory</t>
  </si>
  <si>
    <t>ΔPzm,W [Pa]</t>
  </si>
  <si>
    <t>Tlaková
 ztráta ventilu 2 [Pa]</t>
  </si>
  <si>
    <t>ΔPzm,NS [Pa]</t>
  </si>
  <si>
    <t>Tlaková ztráta třením</t>
  </si>
  <si>
    <t>Celková tlaková ztráta [Pa]</t>
  </si>
  <si>
    <t>Potrubí</t>
  </si>
  <si>
    <t>Úseky</t>
  </si>
  <si>
    <t xml:space="preserve">Dimenze </t>
  </si>
  <si>
    <t>Tlaková ztráta výparníku [Pa]</t>
  </si>
  <si>
    <t>Zpětná klapka</t>
  </si>
  <si>
    <t>Přechod Cu-PE</t>
  </si>
  <si>
    <t>Tlaková ztráta armatur 1-7
[Pa]</t>
  </si>
  <si>
    <r>
      <t>Σξ</t>
    </r>
    <r>
      <rPr>
        <vertAlign val="subscript"/>
        <sz val="11"/>
        <color theme="1"/>
        <rFont val="Calibri"/>
        <family val="2"/>
        <charset val="238"/>
      </rPr>
      <t>1-7</t>
    </r>
  </si>
  <si>
    <r>
      <t xml:space="preserve">Z důvodu, že viskozita nemrzky okolo teploty 0°C je více než 3x vyšší než v případě vody, vychází tak často pro stejný průtok nemrzky laminární proudění nebo proudění v přechodové oblasti. To však přináší problém s určením součinitele tření lambda pro nemrzku, protože výpočet lambdy se liší právě podle typu proudění. Proto budeme výpočet tlakové ztráty provádět vždy pro vodu o teplotě 0°C (to by mělo zaručit dobrou shodu s programem na TZB-INFO) a abychom získali tlakovou ztrátu pro směs Thermofrost L+voda v poměru 1:2, vynásobíme ztrátu pro vodu koeficientem </t>
    </r>
    <r>
      <rPr>
        <b/>
        <sz val="12"/>
        <color rgb="FFFF0000"/>
        <rFont val="Calibri"/>
        <family val="2"/>
        <charset val="238"/>
        <scheme val="minor"/>
      </rPr>
      <t>1.33</t>
    </r>
    <r>
      <rPr>
        <b/>
        <sz val="11"/>
        <rFont val="Calibri"/>
        <family val="2"/>
        <charset val="238"/>
        <scheme val="minor"/>
      </rPr>
      <t>.</t>
    </r>
  </si>
  <si>
    <t>Příklad součinitelů pro jednotlivé armatury:</t>
  </si>
  <si>
    <t>J/(kg.K)</t>
  </si>
  <si>
    <t xml:space="preserve">Měrná tepelná kapacita Thermofrost L:voda,  1:2 </t>
  </si>
  <si>
    <t>Reynoldsovo číslo:</t>
  </si>
  <si>
    <t>Součinitel tření</t>
  </si>
  <si>
    <t>Tlaková ztráta vřazenými odpory:</t>
  </si>
  <si>
    <t>Návod na použití SW</t>
  </si>
  <si>
    <t>Armatura</t>
  </si>
  <si>
    <t>koleno</t>
  </si>
  <si>
    <t>TKK</t>
  </si>
  <si>
    <t>Kulový kohout</t>
  </si>
  <si>
    <t>T-kus</t>
  </si>
  <si>
    <t>Přechod měď/PE</t>
  </si>
  <si>
    <t>Součinitel ξ</t>
  </si>
  <si>
    <t>Očíslování</t>
  </si>
  <si>
    <t>Přechod 
Cu-PE</t>
  </si>
  <si>
    <t>Vřazené odpory</t>
  </si>
  <si>
    <t>Výsledná tlaková ztráta celkem [kPa]</t>
  </si>
  <si>
    <t>VÝPOČET TLAKOVÝCH ZTRÁT PRIMÁRNÍHO OKRUHU TEPELNÉHO ČERPADLA ZEMĚ/VODA</t>
  </si>
  <si>
    <t>Zadání:</t>
  </si>
  <si>
    <t>2x 225m potrubí PE 40x3.7, kulové kohouty s průtokoměry pro každou smyčku</t>
  </si>
  <si>
    <t>Chladicí výkon TČ =</t>
  </si>
  <si>
    <t>m3/h</t>
  </si>
  <si>
    <t>Tlaková ztráta výparníku při průtoku nemrznoucí směsi 1.7 m3/h</t>
  </si>
  <si>
    <t>7,6-1,8 = 5.8 kW</t>
  </si>
  <si>
    <t>Posuďte primární oběhové čerpadlo TČ EcoForest EcoGEO 1-9kW při topném výkonu 7.6 kW/příkon 1.8 kW (podmínky 0/35°C, 65% otáček kompresoru) s plošným kolektorem v této konfiguraci:</t>
  </si>
  <si>
    <t>Dispoziční tlak interního oběhového čerpadla při průtoku 1.7 m3/h je 60 kPa, tlaková ztráta primárního okruhu je 36 kPa =&gt; 
dispoziční tlak čerpadla je vyšší než tlaková ztráta primárního okruhu =&gt; OBĚHOVÉ ČERPADLO VYHOVUJE!!!!</t>
  </si>
  <si>
    <t>Graf vestavěnného primárního oběhového čerpadla:</t>
  </si>
  <si>
    <t>20m potrubí PE 40x3.7 do šachty před domem (přívod + zpátečka dohromady)</t>
  </si>
  <si>
    <t>5m měděného potrubí 35x1.5 připojeno přímo na TČ (přívod + zpátečka dohromady), 4 kolena, 2x třícestný kulový kohout, 1x kulový kohout, 1x filtrball, přechod měď/PE</t>
  </si>
  <si>
    <t>Viskozita nemrznoucí směsi 1:2</t>
  </si>
  <si>
    <t>Hustota nemrznoucí směsi 1:2</t>
  </si>
  <si>
    <t>ΔPzm,W 
[Pa]</t>
  </si>
  <si>
    <r>
      <t>Výpočet na listu "</t>
    </r>
    <r>
      <rPr>
        <b/>
        <sz val="11"/>
        <color theme="1"/>
        <rFont val="Calibri"/>
        <family val="2"/>
        <charset val="238"/>
        <scheme val="minor"/>
      </rPr>
      <t>Výpočet tlakových ztrát</t>
    </r>
    <r>
      <rPr>
        <sz val="11"/>
        <color theme="1"/>
        <rFont val="Calibri"/>
        <family val="2"/>
        <charset val="238"/>
        <scheme val="minor"/>
      </rPr>
      <t xml:space="preserve">" funguje tak, že se prvně vypočte tlaková ztráta pro vodu o teplotě 0°C a tato ztráta se přenásobí součinitelem </t>
    </r>
    <r>
      <rPr>
        <b/>
        <sz val="11"/>
        <color rgb="FFFF0000"/>
        <rFont val="Calibri"/>
        <family val="2"/>
        <charset val="238"/>
        <scheme val="minor"/>
      </rPr>
      <t>1.33</t>
    </r>
    <r>
      <rPr>
        <sz val="11"/>
        <color theme="1"/>
        <rFont val="Calibri"/>
        <family val="2"/>
        <charset val="238"/>
        <scheme val="minor"/>
      </rPr>
      <t>, čímž dosáhneme tlakové ztráty pro nemrznoucí směs Thermofrost L:voda v poměru 1:2. Z měření bylo prokázáno, že tlaková ztráta této směsi v porovnání s vodou je při teplotním spádu 5/1°C  o cca 29% vyšší. Při výpočtu měrné tlakové ztráty třením R [Pa/m] pro vodu se program v závislosti na potrubí a průtoku dopouští chyby do +/-3% (kvůli zjednodušeně použitému výpočtu součinitele "lambda" pro turbulentní proudění, které za teploty 0°C a běžné průtoky těžko dosahujeme), proto je pro jistotu převodní součinitel z vody na nemrznoucí směs mírně navýšen na již zmíněnou hodnotu 1.33. 
Použitím SW tehdy i když víte, že teplota na vstupu do TČ neklesne pod 10°C (např. stoka s odpadní vodou z technologie), tak tlaková ztráta nemrznoucí směsi oproti výpočtu ve skutečnosti bude cca o 3% nižší a budete na straně bezpečnosti.</t>
    </r>
  </si>
  <si>
    <t>Cu 54x2</t>
  </si>
  <si>
    <t>Cu 57x2</t>
  </si>
  <si>
    <t>Cu 64x2</t>
  </si>
  <si>
    <t>Cu 76x2</t>
  </si>
  <si>
    <t>Cu 88.9x2.5</t>
  </si>
  <si>
    <t>Cu 108x2.5</t>
  </si>
  <si>
    <t>GEROTOP PE 40x3.7</t>
  </si>
  <si>
    <t>GEROTOP PE 32x2.9</t>
  </si>
  <si>
    <t>GEROTOP PE 50x4.6</t>
  </si>
  <si>
    <t>GEROTOP PE 63x5.8</t>
  </si>
  <si>
    <t>GEROTOP PE 75x4.5</t>
  </si>
  <si>
    <t>GEROTOP PE 90x5.4</t>
  </si>
  <si>
    <t>GEROTO PE 110x6.6</t>
  </si>
  <si>
    <t>GEROTOP PE 125x7.4</t>
  </si>
  <si>
    <t>Vzorec platí pouze pro turbulentní proudění. U nemrznoucí směsi při teplotě okolo  0°C se za běžných průtoků nedostáváme přímo do turbulentního proudění, ale buď do laminární nebo přechodové oblasti. To by vyžadovalo použití jiných vzorců pro výpočet lambdy. U kapalné vody 0°C však za běžných průtoků dosahujeme většinou turbulentního proudění, takže je programově lehčí vypočítat lambdu pro vodu o teplotě 0°C a následně přepočítat na nemrznoucí směs koeficientem cca 1.3. Vzorec by měl být použit pro hydraulicky hladké potrubí,  ale pro tento výpočet zcela postačuje.</t>
  </si>
  <si>
    <t>Tlaková ztráta vratného U-kolena</t>
  </si>
  <si>
    <t>Koleno 90°</t>
  </si>
  <si>
    <t>Tlaková ztráta 
armatur
[Pa]</t>
  </si>
  <si>
    <t>Dimenze</t>
  </si>
  <si>
    <t>Kulový
 kohout</t>
  </si>
  <si>
    <r>
      <rPr>
        <sz val="8"/>
        <color theme="1"/>
        <rFont val="Calibri"/>
        <family val="2"/>
        <charset val="238"/>
      </rPr>
      <t>λ</t>
    </r>
    <r>
      <rPr>
        <sz val="8"/>
        <color theme="1"/>
        <rFont val="Calibri"/>
        <family val="2"/>
        <charset val="238"/>
        <scheme val="minor"/>
      </rPr>
      <t xml:space="preserve">[-]  </t>
    </r>
  </si>
  <si>
    <t>Tlaková ztráta 
U-kolena
[Pa]</t>
  </si>
  <si>
    <t>Tlaková ztráta výparníku 
[Pa]</t>
  </si>
  <si>
    <r>
      <t>Σξ</t>
    </r>
    <r>
      <rPr>
        <vertAlign val="subscript"/>
        <sz val="14"/>
        <color theme="1"/>
        <rFont val="Calibri"/>
        <family val="2"/>
        <charset val="238"/>
      </rPr>
      <t>1-7</t>
    </r>
  </si>
  <si>
    <t>Redukce
 počtu 
větví</t>
  </si>
  <si>
    <t>Zpětná 
klapka</t>
  </si>
  <si>
    <t>Tlaková ztráta filtrballu 
[Pa]</t>
  </si>
  <si>
    <t>Tlaková
 ztráta ventilu 2 
[Pa]</t>
  </si>
  <si>
    <t>Tlaková
 ztráta ventilu 1 
[Pa]</t>
  </si>
  <si>
    <t>ΔPzm,NS 
[Pa]</t>
  </si>
  <si>
    <t>ΔPzt,NS 
[Pa]</t>
  </si>
  <si>
    <t>Měrná 
ztráta třením
R
[Pa/m]</t>
  </si>
  <si>
    <t>ΔPzt,W 
[Pa]</t>
  </si>
  <si>
    <t>Délka 
úseku
[m]</t>
  </si>
  <si>
    <t>m 
[kg/s]</t>
  </si>
  <si>
    <t>Rychlost proudění
 w 
[m/s]</t>
  </si>
  <si>
    <t xml:space="preserve">Chladicí výkon TČ [W] </t>
  </si>
  <si>
    <t xml:space="preserve">Navržený rozdíl teplot na výparníku [K] </t>
  </si>
  <si>
    <t xml:space="preserve">Průtok přes výparník TČ [kg/s]  </t>
  </si>
  <si>
    <t xml:space="preserve">Počet smyček primárního okruhu TČ </t>
  </si>
  <si>
    <t xml:space="preserve">Průtok jednou smyčkou [kg/s] </t>
  </si>
  <si>
    <t>Počet kusů vybraných armatur v daném úseku</t>
  </si>
  <si>
    <t>Tlaková ztráta vřazenými odpory v obloucích 90/180° plošného kolektoru je díky velkému poloměru zakřivení zanedbatelná a lze uvažovat pouze s tlakovou ztrátou třením. Na vratné U-koleno v patě vrtu je požadavek normy na tlakovou ztrátu max. 1 kPa při rychlosti proudění 1 m/s. Takže není nutné se tímto odporem nijak dlouze zabývat. Pokud přesto chcete pro dobrý pocit tlakovou ztrátu U-kolena do tabulky zahrnout, je pro něj buňka připravena a přesnou tlakovou ztrátu lze odečíst z grafu vpravo.</t>
  </si>
  <si>
    <t>Zdroj: časopis Topenářství instalace 1/2016</t>
  </si>
  <si>
    <t>Celková tlaková ztráta úseku 
ΔPc
[kPa]</t>
  </si>
  <si>
    <t>3cestný kulový 
kohout</t>
  </si>
  <si>
    <t>Pozn.: Vrt, 2trubková sonda v dimenzi PE 40x3,7 mm, délka 130m</t>
  </si>
  <si>
    <t>Ing. Petr Michal</t>
  </si>
  <si>
    <t>Verze programu 1.1</t>
  </si>
  <si>
    <r>
      <t xml:space="preserve">PROJEKTUJ TEPELNÁ ČERPADLA, +420 272 191 405; info@protc.cz; </t>
    </r>
    <r>
      <rPr>
        <i/>
        <sz val="8"/>
        <color rgb="FF0070C0"/>
        <rFont val="Calibri"/>
        <family val="2"/>
        <charset val="238"/>
        <scheme val="minor"/>
      </rPr>
      <t>www.projektuj-tepelna-cerpadla.cz</t>
    </r>
  </si>
  <si>
    <r>
      <t>Tento SW slouží pro rychlý výpočet tlakových ztrát primárního okruhu tepelných čerpadel země/voda se vstupní teplotou nemrznoucí směsi do TČ o teplotě 0°C. To odpovídá běžným návrhovým podmínkám TČ s vrty/plošnými kolektory. Výpočet probíhá na listu "</t>
    </r>
    <r>
      <rPr>
        <b/>
        <sz val="11"/>
        <color theme="1"/>
        <rFont val="Calibri"/>
        <family val="2"/>
        <charset val="238"/>
        <scheme val="minor"/>
      </rPr>
      <t>Vypočet tlakových ztrát</t>
    </r>
    <r>
      <rPr>
        <sz val="11"/>
        <color theme="1"/>
        <rFont val="Calibri"/>
        <family val="2"/>
        <charset val="238"/>
        <scheme val="minor"/>
      </rPr>
      <t>".
Modrá pole se zadávají, hnědá pole se počítají samy. Pro názornost prvně sledujte listy "</t>
    </r>
    <r>
      <rPr>
        <b/>
        <sz val="11"/>
        <color theme="1"/>
        <rFont val="Calibri"/>
        <family val="2"/>
        <charset val="238"/>
        <scheme val="minor"/>
      </rPr>
      <t>Vzorový příklad</t>
    </r>
    <r>
      <rPr>
        <sz val="11"/>
        <color theme="1"/>
        <rFont val="Calibri"/>
        <family val="2"/>
        <charset val="238"/>
        <scheme val="minor"/>
      </rPr>
      <t>" a "</t>
    </r>
    <r>
      <rPr>
        <b/>
        <sz val="11"/>
        <color theme="1"/>
        <rFont val="Calibri"/>
        <family val="2"/>
        <charset val="238"/>
        <scheme val="minor"/>
      </rPr>
      <t>Použité vzorce</t>
    </r>
    <r>
      <rPr>
        <sz val="11"/>
        <color theme="1"/>
        <rFont val="Calibri"/>
        <family val="2"/>
        <charset val="238"/>
        <scheme val="minor"/>
      </rPr>
      <t xml:space="preserve">".
V první tabulce se zadáním chladicího výkonu TČ a požadovaného rozdílu teplot na primárním okruhu vypočte hmotnostní průtok nemrznoucí směsi přes TČ. To je zároveň i průtok v páteřním vedení většinou až k šachtě.
Dolní tabulka slouží pro výpočet tlakových ztrát jednotlivých úseků primárního okruhu, přičemž každý úsek začíná/končí tam, kde se potrubí primárního okruhu rozděluje na více větví (typicky šachta rozdělovače), nebo kde se mění materiál potrubí (přechod z mědi na PE) popř. na redukci počtu větví tvaru "Y". Prvně zde zadáte dimenzi potrubí a následně vypočtený hmotnostní průtok z 1. tabulky a délku úseku. Poté již doplníte pouze počet kolen, kohoutů, tlakovou ztrátu filtrballu (odečtete z grafu) nebo nějakého 3-cestného ventilu. podle jeho digramu tlakových ztrát.
Poté zadáte dimenzi a průtok v dalším úseku. Pokud máte z rozdělovače dvě smyčky primárního okruhu, tak jednoduše průtok v páteřním vedení k rozdělovači podělíte dvěma a máte průtok přes jednu smyčku. Pokud by z rozdělovače šly 4 smyčky, podělíte páteřní průtok číslem 4 atd...Znovu doplníte počty kolen/armatur popř. přímo dosadíte tlakovou ztrátu ventilu odečtenou z grafu.
</t>
    </r>
    <r>
      <rPr>
        <b/>
        <sz val="11"/>
        <color rgb="FFFF0000"/>
        <rFont val="Calibri"/>
        <family val="2"/>
        <charset val="238"/>
        <scheme val="minor"/>
      </rPr>
      <t>Pozor: Při výpočtu tlakové ztráty zadáváte délku úseku jako součet délky zpátečky a přívodu. Čili pokud je délka přívodního potrubí od TČ do šachty 10 m, tak délka úseku zadaná v programu bude 20m.</t>
    </r>
    <r>
      <rPr>
        <sz val="11"/>
        <color theme="1"/>
        <rFont val="Calibri"/>
        <family val="2"/>
        <charset val="238"/>
        <scheme val="minor"/>
      </rPr>
      <t xml:space="preserve">
Výsledná celková tlaková ztráta primárního okruhu je vpravo dole v šedivém poli. Výpočtenou hodnotu tlakové ztráty je potřeba dosadit do grafu oběhového čerpadla primárního okruhu daného TČ ať už jde o interní nebo externí oběhové čerpadlo primáru a následně tuto hodnotu porovnat s dispozičním tlakem oběhového čerpadla pro daný průtok přes TČ (průtok 1. úsekem). V dokumentu se počítá s tlakovou ztrátou v Pascalech, ale ve výsledném šedivém poli na konci tabulky je výsledek v kPa.
</t>
    </r>
    <r>
      <rPr>
        <b/>
        <sz val="11"/>
        <color rgb="FFFF0000"/>
        <rFont val="Calibri"/>
        <family val="2"/>
        <charset val="238"/>
        <scheme val="minor"/>
      </rPr>
      <t xml:space="preserve">Prosím ohlídejte si, že se Vám nezapočítává tlaková ztráta např. 4. úseku, pokud počítáte jen se dvěma nebo 3-mi úseky. </t>
    </r>
    <r>
      <rPr>
        <sz val="11"/>
        <rFont val="Calibri"/>
        <family val="2"/>
        <charset val="238"/>
        <scheme val="minor"/>
      </rPr>
      <t>U nevyužitého pole úseku zadejte místo nulového průtoku velmi malý průtok např. 0.001 kg/s a zkontrolujte, že v tlakových ztrátách vřazenými odpory nemáte zadaný žádný počet armatur - v případě zadaného téměř nulového průtoku však na počtu armatur nezáleží i kdyby byl počet uveden.</t>
    </r>
    <r>
      <rPr>
        <b/>
        <sz val="11"/>
        <color rgb="FFFF0000"/>
        <rFont val="Calibri"/>
        <family val="2"/>
        <charset val="238"/>
        <scheme val="minor"/>
      </rPr>
      <t xml:space="preserve">
Mějte na paměti, že za návrhových teplot nemrznoucí směsi 0°C na vstupu do TČ má stroj nižší chladicí výkon než většinu roku kdy je primár teplejší. </t>
    </r>
    <r>
      <rPr>
        <sz val="11"/>
        <rFont val="Calibri"/>
        <family val="2"/>
        <charset val="238"/>
        <scheme val="minor"/>
      </rPr>
      <t>Myšleny hlavně ON/OFF stroje, frekvenčně řízené stroje se do vytápění umí přizpůsobit aktuální potřebě domu, která je většinu roku podstatně nižší než za návrhových podmínek, Do TV mohou i frekvenčně řízené stroje vyjet na 100% otáček, záleží však na omezení otáček kompresoru v regulaci servisním technikem či samotnou ochranou výrobce.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Pokud tedy navrhnete primární okruh pro vstupní teplotu do TČ 0°C s dT=3K, bude za vyšších teplot primáru oběhové čerpadlo většinu roku nuceno běžet na vyšší otáčky a je dost možné, že v regulaci nastavené dT=3K nebude moct udržet. Doporučená MAX dT je 5K.</t>
    </r>
    <r>
      <rPr>
        <b/>
        <sz val="11"/>
        <color rgb="FFFF0000"/>
        <rFont val="Calibri"/>
        <family val="2"/>
        <charset val="238"/>
        <scheme val="minor"/>
      </rPr>
      <t xml:space="preserve"> Proto doporučujeme ohlídat, že oběhové čerpadlo navržené na nominální průtok za teploty 0°C bude schopno udržet MAX-dT=5K u vrtu za teplot cca +10°C a u plošného kolektoru za teplot primáru cca +15°C. Udržení nižší dT primáru umožňuje dosáhnout vyššího COP.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</si>
</sst>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000"/>
    <numFmt numFmtId="166" formatCode="0.00000"/>
    <numFmt numFmtId="167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7.7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vertAlign val="subscript"/>
      <sz val="11"/>
      <color theme="1"/>
      <name val="Calibri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indexed="81"/>
      <name val="Tahoma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vertAlign val="subscript"/>
      <sz val="14"/>
      <color theme="1"/>
      <name val="Calibri"/>
      <family val="2"/>
      <charset val="238"/>
    </font>
    <font>
      <sz val="8"/>
      <color indexed="81"/>
      <name val="Tahoma"/>
      <family val="2"/>
      <charset val="238"/>
    </font>
    <font>
      <b/>
      <u/>
      <sz val="16"/>
      <color rgb="FF0F6D93"/>
      <name val="Calibri"/>
      <family val="2"/>
      <charset val="238"/>
      <scheme val="minor"/>
    </font>
    <font>
      <sz val="8"/>
      <name val="Tahoma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8"/>
      <color rgb="FF0070C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3" borderId="1" xfId="0" applyFill="1" applyBorder="1"/>
    <xf numFmtId="0" fontId="0" fillId="7" borderId="1" xfId="0" applyFill="1" applyBorder="1"/>
    <xf numFmtId="0" fontId="0" fillId="6" borderId="0" xfId="0" applyFill="1" applyAlignment="1">
      <alignment horizontal="right"/>
    </xf>
    <xf numFmtId="165" fontId="0" fillId="5" borderId="0" xfId="0" applyNumberFormat="1" applyFill="1" applyAlignment="1">
      <alignment horizontal="right"/>
    </xf>
    <xf numFmtId="2" fontId="0" fillId="5" borderId="0" xfId="0" applyNumberFormat="1" applyFill="1" applyAlignment="1">
      <alignment horizontal="right"/>
    </xf>
    <xf numFmtId="1" fontId="0" fillId="0" borderId="0" xfId="0" applyNumberFormat="1"/>
    <xf numFmtId="0" fontId="0" fillId="0" borderId="0" xfId="0" applyFont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Fill="1" applyBorder="1"/>
    <xf numFmtId="0" fontId="2" fillId="7" borderId="1" xfId="0" applyFont="1" applyFill="1" applyBorder="1"/>
    <xf numFmtId="0" fontId="2" fillId="3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66" fontId="0" fillId="4" borderId="13" xfId="0" applyNumberFormat="1" applyFill="1" applyBorder="1" applyAlignment="1">
      <alignment horizontal="center" vertical="center"/>
    </xf>
    <xf numFmtId="167" fontId="0" fillId="4" borderId="13" xfId="0" applyNumberFormat="1" applyFill="1" applyBorder="1" applyAlignment="1">
      <alignment horizontal="center" vertical="center"/>
    </xf>
    <xf numFmtId="1" fontId="0" fillId="4" borderId="14" xfId="0" applyNumberFormat="1" applyFill="1" applyBorder="1" applyAlignment="1">
      <alignment horizontal="center" vertical="center"/>
    </xf>
    <xf numFmtId="1" fontId="0" fillId="4" borderId="19" xfId="0" applyNumberFormat="1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166" fontId="0" fillId="4" borderId="16" xfId="0" applyNumberFormat="1" applyFill="1" applyBorder="1" applyAlignment="1">
      <alignment horizontal="center" vertical="center"/>
    </xf>
    <xf numFmtId="167" fontId="0" fillId="4" borderId="16" xfId="0" applyNumberFormat="1" applyFill="1" applyBorder="1" applyAlignment="1">
      <alignment horizontal="center" vertical="center"/>
    </xf>
    <xf numFmtId="1" fontId="0" fillId="4" borderId="17" xfId="0" applyNumberFormat="1" applyFill="1" applyBorder="1" applyAlignment="1">
      <alignment horizontal="center" vertical="center"/>
    </xf>
    <xf numFmtId="0" fontId="0" fillId="10" borderId="25" xfId="0" applyFont="1" applyFill="1" applyBorder="1" applyAlignment="1">
      <alignment horizontal="center" vertical="center" wrapText="1"/>
    </xf>
    <xf numFmtId="1" fontId="0" fillId="10" borderId="26" xfId="0" applyNumberFormat="1" applyFill="1" applyBorder="1" applyAlignment="1">
      <alignment horizontal="center" vertical="center"/>
    </xf>
    <xf numFmtId="1" fontId="0" fillId="10" borderId="27" xfId="0" applyNumberForma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28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0" borderId="18" xfId="0" applyBorder="1"/>
    <xf numFmtId="0" fontId="0" fillId="8" borderId="19" xfId="0" applyFill="1" applyBorder="1" applyAlignment="1">
      <alignment horizontal="center"/>
    </xf>
    <xf numFmtId="0" fontId="0" fillId="0" borderId="15" xfId="0" applyBorder="1"/>
    <xf numFmtId="0" fontId="0" fillId="8" borderId="17" xfId="0" applyFill="1" applyBorder="1" applyAlignment="1">
      <alignment horizontal="center"/>
    </xf>
    <xf numFmtId="0" fontId="0" fillId="10" borderId="29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20" xfId="0" applyFont="1" applyFill="1" applyBorder="1" applyAlignment="1">
      <alignment horizontal="center" vertical="center"/>
    </xf>
    <xf numFmtId="2" fontId="0" fillId="10" borderId="21" xfId="0" applyNumberFormat="1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0" fillId="10" borderId="30" xfId="0" applyFont="1" applyFill="1" applyBorder="1" applyAlignment="1">
      <alignment horizontal="center" vertical="center" wrapText="1"/>
    </xf>
    <xf numFmtId="0" fontId="0" fillId="10" borderId="31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32" xfId="0" applyNumberFormat="1" applyFill="1" applyBorder="1" applyAlignment="1">
      <alignment horizontal="center" vertical="center"/>
    </xf>
    <xf numFmtId="1" fontId="0" fillId="4" borderId="33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1" fontId="0" fillId="4" borderId="34" xfId="0" applyNumberFormat="1" applyFill="1" applyBorder="1" applyAlignment="1">
      <alignment horizontal="center" vertical="center"/>
    </xf>
    <xf numFmtId="2" fontId="0" fillId="4" borderId="14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2" fontId="0" fillId="4" borderId="17" xfId="0" applyNumberFormat="1" applyFill="1" applyBorder="1" applyAlignment="1">
      <alignment horizontal="center" vertical="center"/>
    </xf>
    <xf numFmtId="0" fontId="0" fillId="10" borderId="25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vertical="top" wrapText="1"/>
    </xf>
    <xf numFmtId="0" fontId="10" fillId="0" borderId="0" xfId="0" applyFont="1"/>
    <xf numFmtId="0" fontId="2" fillId="0" borderId="1" xfId="0" applyFont="1" applyBorder="1"/>
    <xf numFmtId="0" fontId="0" fillId="0" borderId="0" xfId="0" applyAlignment="1">
      <alignment vertical="top" wrapText="1"/>
    </xf>
    <xf numFmtId="0" fontId="2" fillId="0" borderId="0" xfId="0" applyFont="1" applyFill="1" applyAlignment="1">
      <alignment horizontal="center" vertical="center"/>
    </xf>
    <xf numFmtId="0" fontId="0" fillId="4" borderId="0" xfId="0" applyFill="1"/>
    <xf numFmtId="0" fontId="2" fillId="4" borderId="0" xfId="0" applyFont="1" applyFill="1"/>
    <xf numFmtId="0" fontId="4" fillId="4" borderId="0" xfId="0" applyFont="1" applyFill="1"/>
    <xf numFmtId="0" fontId="0" fillId="4" borderId="0" xfId="0" applyFill="1" applyBorder="1" applyAlignment="1"/>
    <xf numFmtId="0" fontId="2" fillId="4" borderId="0" xfId="0" applyFont="1" applyFill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13" fillId="0" borderId="0" xfId="0" applyFont="1"/>
    <xf numFmtId="0" fontId="13" fillId="0" borderId="0" xfId="0" applyFont="1" applyAlignment="1"/>
    <xf numFmtId="0" fontId="14" fillId="7" borderId="1" xfId="0" applyFont="1" applyFill="1" applyBorder="1"/>
    <xf numFmtId="0" fontId="14" fillId="3" borderId="1" xfId="0" applyFont="1" applyFill="1" applyBorder="1"/>
    <xf numFmtId="0" fontId="15" fillId="0" borderId="0" xfId="0" applyFont="1"/>
    <xf numFmtId="0" fontId="0" fillId="0" borderId="0" xfId="0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 vertical="center"/>
    </xf>
    <xf numFmtId="0" fontId="15" fillId="7" borderId="1" xfId="0" applyFont="1" applyFill="1" applyBorder="1"/>
    <xf numFmtId="0" fontId="15" fillId="3" borderId="1" xfId="0" applyFont="1" applyFill="1" applyBorder="1"/>
    <xf numFmtId="0" fontId="20" fillId="13" borderId="25" xfId="0" applyFont="1" applyFill="1" applyBorder="1" applyAlignment="1" applyProtection="1">
      <alignment horizontal="center" vertical="center"/>
      <protection locked="0"/>
    </xf>
    <xf numFmtId="0" fontId="20" fillId="13" borderId="26" xfId="0" applyFont="1" applyFill="1" applyBorder="1" applyAlignment="1" applyProtection="1">
      <alignment horizontal="center" vertical="center"/>
      <protection locked="0"/>
    </xf>
    <xf numFmtId="0" fontId="20" fillId="0" borderId="26" xfId="0" applyFont="1" applyBorder="1" applyAlignment="1">
      <alignment horizontal="center" vertical="center"/>
    </xf>
    <xf numFmtId="2" fontId="21" fillId="12" borderId="26" xfId="0" applyNumberFormat="1" applyFont="1" applyFill="1" applyBorder="1" applyAlignment="1">
      <alignment horizontal="center" vertical="center"/>
    </xf>
    <xf numFmtId="1" fontId="20" fillId="13" borderId="26" xfId="0" applyNumberFormat="1" applyFont="1" applyFill="1" applyBorder="1" applyAlignment="1" applyProtection="1">
      <alignment horizontal="center" vertical="center"/>
      <protection locked="0"/>
    </xf>
    <xf numFmtId="2" fontId="21" fillId="12" borderId="27" xfId="0" applyNumberFormat="1" applyFont="1" applyFill="1" applyBorder="1" applyAlignment="1">
      <alignment horizontal="center" vertical="center"/>
    </xf>
    <xf numFmtId="0" fontId="20" fillId="0" borderId="0" xfId="0" applyFont="1" applyAlignment="1"/>
    <xf numFmtId="0" fontId="20" fillId="0" borderId="0" xfId="0" applyFont="1"/>
    <xf numFmtId="0" fontId="21" fillId="10" borderId="3" xfId="0" applyFont="1" applyFill="1" applyBorder="1" applyAlignment="1">
      <alignment horizontal="center" vertical="center"/>
    </xf>
    <xf numFmtId="0" fontId="20" fillId="10" borderId="22" xfId="0" applyFont="1" applyFill="1" applyBorder="1" applyAlignment="1">
      <alignment horizontal="center" vertical="center"/>
    </xf>
    <xf numFmtId="0" fontId="20" fillId="10" borderId="23" xfId="0" applyFont="1" applyFill="1" applyBorder="1" applyAlignment="1">
      <alignment horizontal="center" vertical="center"/>
    </xf>
    <xf numFmtId="0" fontId="20" fillId="10" borderId="24" xfId="0" applyFont="1" applyFill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center" vertical="center"/>
    </xf>
    <xf numFmtId="0" fontId="20" fillId="10" borderId="20" xfId="0" applyFont="1" applyFill="1" applyBorder="1" applyAlignment="1">
      <alignment horizontal="center" vertical="center"/>
    </xf>
    <xf numFmtId="0" fontId="20" fillId="10" borderId="15" xfId="0" applyFont="1" applyFill="1" applyBorder="1" applyAlignment="1">
      <alignment horizontal="center" vertical="center" wrapText="1"/>
    </xf>
    <xf numFmtId="0" fontId="20" fillId="10" borderId="16" xfId="0" applyFont="1" applyFill="1" applyBorder="1" applyAlignment="1">
      <alignment horizontal="center" vertical="center" wrapText="1"/>
    </xf>
    <xf numFmtId="0" fontId="20" fillId="10" borderId="25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13" borderId="14" xfId="0" applyFont="1" applyFill="1" applyBorder="1" applyAlignment="1" applyProtection="1">
      <alignment horizontal="center" vertical="center"/>
      <protection locked="0"/>
    </xf>
    <xf numFmtId="2" fontId="20" fillId="13" borderId="28" xfId="0" applyNumberFormat="1" applyFont="1" applyFill="1" applyBorder="1" applyAlignment="1" applyProtection="1">
      <alignment horizontal="center" vertical="center"/>
      <protection locked="0"/>
    </xf>
    <xf numFmtId="164" fontId="20" fillId="11" borderId="7" xfId="0" applyNumberFormat="1" applyFont="1" applyFill="1" applyBorder="1" applyAlignment="1">
      <alignment horizontal="center" vertical="center"/>
    </xf>
    <xf numFmtId="2" fontId="20" fillId="12" borderId="14" xfId="0" applyNumberFormat="1" applyFont="1" applyFill="1" applyBorder="1" applyAlignment="1">
      <alignment horizontal="center" vertical="center"/>
    </xf>
    <xf numFmtId="1" fontId="20" fillId="12" borderId="33" xfId="0" applyNumberFormat="1" applyFont="1" applyFill="1" applyBorder="1" applyAlignment="1">
      <alignment horizontal="center" vertical="center"/>
    </xf>
    <xf numFmtId="166" fontId="20" fillId="12" borderId="13" xfId="0" applyNumberFormat="1" applyFont="1" applyFill="1" applyBorder="1" applyAlignment="1">
      <alignment horizontal="center" vertical="center"/>
    </xf>
    <xf numFmtId="167" fontId="20" fillId="12" borderId="13" xfId="0" applyNumberFormat="1" applyFont="1" applyFill="1" applyBorder="1" applyAlignment="1">
      <alignment horizontal="center" vertical="center"/>
    </xf>
    <xf numFmtId="1" fontId="20" fillId="12" borderId="13" xfId="0" applyNumberFormat="1" applyFont="1" applyFill="1" applyBorder="1" applyAlignment="1">
      <alignment horizontal="center" vertical="center"/>
    </xf>
    <xf numFmtId="1" fontId="20" fillId="12" borderId="14" xfId="0" applyNumberFormat="1" applyFont="1" applyFill="1" applyBorder="1" applyAlignment="1">
      <alignment horizontal="center" vertical="center"/>
    </xf>
    <xf numFmtId="0" fontId="20" fillId="13" borderId="12" xfId="0" applyFont="1" applyFill="1" applyBorder="1" applyAlignment="1" applyProtection="1">
      <alignment horizontal="center" vertical="center"/>
      <protection locked="0"/>
    </xf>
    <xf numFmtId="0" fontId="20" fillId="13" borderId="13" xfId="0" applyFont="1" applyFill="1" applyBorder="1" applyAlignment="1" applyProtection="1">
      <alignment horizontal="center" vertical="center"/>
      <protection locked="0"/>
    </xf>
    <xf numFmtId="0" fontId="20" fillId="12" borderId="13" xfId="0" applyFont="1" applyFill="1" applyBorder="1" applyAlignment="1">
      <alignment horizontal="center" vertical="center"/>
    </xf>
    <xf numFmtId="0" fontId="20" fillId="13" borderId="39" xfId="0" applyFont="1" applyFill="1" applyBorder="1" applyAlignment="1" applyProtection="1">
      <alignment horizontal="center" vertical="center"/>
      <protection locked="0"/>
    </xf>
    <xf numFmtId="1" fontId="20" fillId="12" borderId="13" xfId="0" applyNumberFormat="1" applyFont="1" applyFill="1" applyBorder="1" applyAlignment="1" applyProtection="1">
      <alignment horizontal="center" vertical="center"/>
    </xf>
    <xf numFmtId="167" fontId="20" fillId="14" borderId="35" xfId="0" applyNumberFormat="1" applyFont="1" applyFill="1" applyBorder="1" applyAlignment="1">
      <alignment horizontal="center" vertical="center"/>
    </xf>
    <xf numFmtId="0" fontId="20" fillId="10" borderId="26" xfId="0" applyFont="1" applyFill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0" fontId="20" fillId="13" borderId="19" xfId="0" applyFont="1" applyFill="1" applyBorder="1" applyAlignment="1" applyProtection="1">
      <alignment horizontal="center" vertical="center"/>
      <protection locked="0"/>
    </xf>
    <xf numFmtId="2" fontId="20" fillId="13" borderId="18" xfId="0" applyNumberFormat="1" applyFont="1" applyFill="1" applyBorder="1" applyAlignment="1" applyProtection="1">
      <alignment horizontal="center" vertical="center"/>
      <protection locked="0"/>
    </xf>
    <xf numFmtId="164" fontId="20" fillId="11" borderId="4" xfId="0" applyNumberFormat="1" applyFont="1" applyFill="1" applyBorder="1" applyAlignment="1">
      <alignment horizontal="center" vertical="center"/>
    </xf>
    <xf numFmtId="2" fontId="20" fillId="12" borderId="19" xfId="0" applyNumberFormat="1" applyFont="1" applyFill="1" applyBorder="1" applyAlignment="1">
      <alignment horizontal="center" vertical="center"/>
    </xf>
    <xf numFmtId="1" fontId="20" fillId="12" borderId="5" xfId="0" applyNumberFormat="1" applyFont="1" applyFill="1" applyBorder="1" applyAlignment="1">
      <alignment horizontal="center" vertical="center"/>
    </xf>
    <xf numFmtId="166" fontId="20" fillId="12" borderId="1" xfId="0" applyNumberFormat="1" applyFont="1" applyFill="1" applyBorder="1" applyAlignment="1">
      <alignment horizontal="center" vertical="center"/>
    </xf>
    <xf numFmtId="167" fontId="20" fillId="12" borderId="1" xfId="0" applyNumberFormat="1" applyFont="1" applyFill="1" applyBorder="1" applyAlignment="1">
      <alignment horizontal="center" vertical="center"/>
    </xf>
    <xf numFmtId="1" fontId="20" fillId="12" borderId="1" xfId="0" applyNumberFormat="1" applyFont="1" applyFill="1" applyBorder="1" applyAlignment="1">
      <alignment horizontal="center" vertical="center"/>
    </xf>
    <xf numFmtId="1" fontId="20" fillId="12" borderId="19" xfId="0" applyNumberFormat="1" applyFont="1" applyFill="1" applyBorder="1" applyAlignment="1">
      <alignment horizontal="center" vertical="center"/>
    </xf>
    <xf numFmtId="0" fontId="20" fillId="13" borderId="18" xfId="0" applyFont="1" applyFill="1" applyBorder="1" applyAlignment="1" applyProtection="1">
      <alignment horizontal="center" vertical="center"/>
      <protection locked="0"/>
    </xf>
    <xf numFmtId="0" fontId="20" fillId="13" borderId="1" xfId="0" applyFont="1" applyFill="1" applyBorder="1" applyAlignment="1" applyProtection="1">
      <alignment horizontal="center" vertical="center"/>
      <protection locked="0"/>
    </xf>
    <xf numFmtId="0" fontId="20" fillId="12" borderId="1" xfId="0" applyFont="1" applyFill="1" applyBorder="1" applyAlignment="1">
      <alignment horizontal="center" vertical="center"/>
    </xf>
    <xf numFmtId="0" fontId="20" fillId="13" borderId="4" xfId="0" applyFont="1" applyFill="1" applyBorder="1" applyAlignment="1" applyProtection="1">
      <alignment horizontal="center" vertical="center"/>
      <protection locked="0"/>
    </xf>
    <xf numFmtId="1" fontId="20" fillId="12" borderId="1" xfId="0" applyNumberFormat="1" applyFont="1" applyFill="1" applyBorder="1" applyAlignment="1" applyProtection="1">
      <alignment horizontal="center" vertical="center"/>
    </xf>
    <xf numFmtId="167" fontId="20" fillId="14" borderId="26" xfId="0" applyNumberFormat="1" applyFont="1" applyFill="1" applyBorder="1" applyAlignment="1">
      <alignment horizontal="center" vertical="center"/>
    </xf>
    <xf numFmtId="0" fontId="20" fillId="10" borderId="27" xfId="0" applyFont="1" applyFill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vertical="center"/>
      <protection locked="0"/>
    </xf>
    <xf numFmtId="0" fontId="20" fillId="13" borderId="17" xfId="0" applyFont="1" applyFill="1" applyBorder="1" applyAlignment="1" applyProtection="1">
      <alignment horizontal="center" vertical="center"/>
      <protection locked="0"/>
    </xf>
    <xf numFmtId="2" fontId="20" fillId="13" borderId="15" xfId="0" applyNumberFormat="1" applyFont="1" applyFill="1" applyBorder="1" applyAlignment="1" applyProtection="1">
      <alignment horizontal="center" vertical="center"/>
      <protection locked="0"/>
    </xf>
    <xf numFmtId="164" fontId="20" fillId="11" borderId="32" xfId="0" applyNumberFormat="1" applyFont="1" applyFill="1" applyBorder="1" applyAlignment="1">
      <alignment horizontal="center" vertical="center"/>
    </xf>
    <xf numFmtId="2" fontId="20" fillId="12" borderId="17" xfId="0" applyNumberFormat="1" applyFont="1" applyFill="1" applyBorder="1" applyAlignment="1">
      <alignment horizontal="center" vertical="center"/>
    </xf>
    <xf numFmtId="1" fontId="20" fillId="12" borderId="34" xfId="0" applyNumberFormat="1" applyFont="1" applyFill="1" applyBorder="1" applyAlignment="1">
      <alignment horizontal="center" vertical="center"/>
    </xf>
    <xf numFmtId="166" fontId="20" fillId="12" borderId="16" xfId="0" applyNumberFormat="1" applyFont="1" applyFill="1" applyBorder="1" applyAlignment="1">
      <alignment horizontal="center" vertical="center"/>
    </xf>
    <xf numFmtId="167" fontId="20" fillId="12" borderId="16" xfId="0" applyNumberFormat="1" applyFont="1" applyFill="1" applyBorder="1" applyAlignment="1">
      <alignment horizontal="center" vertical="center"/>
    </xf>
    <xf numFmtId="1" fontId="20" fillId="12" borderId="16" xfId="0" applyNumberFormat="1" applyFont="1" applyFill="1" applyBorder="1" applyAlignment="1">
      <alignment horizontal="center" vertical="center"/>
    </xf>
    <xf numFmtId="1" fontId="20" fillId="12" borderId="17" xfId="0" applyNumberFormat="1" applyFont="1" applyFill="1" applyBorder="1" applyAlignment="1">
      <alignment horizontal="center" vertical="center"/>
    </xf>
    <xf numFmtId="0" fontId="20" fillId="13" borderId="15" xfId="0" applyFont="1" applyFill="1" applyBorder="1" applyAlignment="1" applyProtection="1">
      <alignment horizontal="center" vertical="center"/>
      <protection locked="0"/>
    </xf>
    <xf numFmtId="0" fontId="20" fillId="13" borderId="16" xfId="0" applyFont="1" applyFill="1" applyBorder="1" applyAlignment="1" applyProtection="1">
      <alignment horizontal="center" vertical="center"/>
      <protection locked="0"/>
    </xf>
    <xf numFmtId="0" fontId="20" fillId="12" borderId="16" xfId="0" applyFont="1" applyFill="1" applyBorder="1" applyAlignment="1">
      <alignment horizontal="center" vertical="center"/>
    </xf>
    <xf numFmtId="0" fontId="20" fillId="13" borderId="32" xfId="0" applyFont="1" applyFill="1" applyBorder="1" applyAlignment="1" applyProtection="1">
      <alignment horizontal="center" vertical="center"/>
      <protection locked="0"/>
    </xf>
    <xf numFmtId="1" fontId="20" fillId="12" borderId="16" xfId="0" applyNumberFormat="1" applyFont="1" applyFill="1" applyBorder="1" applyAlignment="1" applyProtection="1">
      <alignment horizontal="center" vertical="center"/>
    </xf>
    <xf numFmtId="167" fontId="20" fillId="14" borderId="27" xfId="0" applyNumberFormat="1" applyFont="1" applyFill="1" applyBorder="1" applyAlignment="1">
      <alignment horizontal="center" vertical="center"/>
    </xf>
    <xf numFmtId="2" fontId="20" fillId="10" borderId="21" xfId="0" applyNumberFormat="1" applyFont="1" applyFill="1" applyBorder="1" applyAlignment="1">
      <alignment horizontal="center" vertical="center" wrapText="1"/>
    </xf>
    <xf numFmtId="0" fontId="20" fillId="10" borderId="20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25" fillId="9" borderId="0" xfId="0" applyFont="1" applyFill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0" fillId="10" borderId="9" xfId="0" applyFill="1" applyBorder="1" applyAlignment="1">
      <alignment horizontal="center" wrapText="1"/>
    </xf>
    <xf numFmtId="0" fontId="0" fillId="10" borderId="10" xfId="0" applyFill="1" applyBorder="1" applyAlignment="1">
      <alignment horizontal="center" wrapText="1"/>
    </xf>
    <xf numFmtId="0" fontId="0" fillId="10" borderId="11" xfId="0" applyFill="1" applyBorder="1" applyAlignment="1">
      <alignment horizontal="center" wrapText="1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left" vertical="top" wrapText="1"/>
    </xf>
    <xf numFmtId="0" fontId="0" fillId="10" borderId="3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1" fillId="10" borderId="9" xfId="0" applyFont="1" applyFill="1" applyBorder="1" applyAlignment="1">
      <alignment horizontal="center" vertical="center" wrapText="1"/>
    </xf>
    <xf numFmtId="0" fontId="21" fillId="10" borderId="10" xfId="0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0" fillId="0" borderId="54" xfId="0" applyFont="1" applyBorder="1" applyAlignment="1">
      <alignment horizontal="right" vertical="center"/>
    </xf>
    <xf numFmtId="0" fontId="20" fillId="0" borderId="55" xfId="0" applyFont="1" applyBorder="1" applyAlignment="1">
      <alignment horizontal="right" vertical="center"/>
    </xf>
    <xf numFmtId="0" fontId="20" fillId="0" borderId="52" xfId="0" applyFont="1" applyBorder="1" applyAlignment="1">
      <alignment horizontal="right" vertical="center"/>
    </xf>
    <xf numFmtId="0" fontId="20" fillId="0" borderId="53" xfId="0" applyFont="1" applyBorder="1" applyAlignment="1">
      <alignment horizontal="right" vertical="center"/>
    </xf>
    <xf numFmtId="0" fontId="20" fillId="0" borderId="50" xfId="0" applyFont="1" applyBorder="1" applyAlignment="1">
      <alignment horizontal="right" vertical="center"/>
    </xf>
    <xf numFmtId="0" fontId="20" fillId="0" borderId="51" xfId="0" applyFont="1" applyBorder="1" applyAlignment="1">
      <alignment horizontal="right" vertical="center"/>
    </xf>
    <xf numFmtId="0" fontId="20" fillId="10" borderId="13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10" borderId="16" xfId="0" applyFont="1" applyFill="1" applyBorder="1" applyAlignment="1">
      <alignment horizontal="center" vertical="center" wrapText="1"/>
    </xf>
    <xf numFmtId="167" fontId="5" fillId="14" borderId="38" xfId="0" applyNumberFormat="1" applyFont="1" applyFill="1" applyBorder="1" applyAlignment="1">
      <alignment horizontal="center" vertical="center"/>
    </xf>
    <xf numFmtId="167" fontId="5" fillId="14" borderId="8" xfId="0" applyNumberFormat="1" applyFont="1" applyFill="1" applyBorder="1" applyAlignment="1">
      <alignment horizontal="center" vertical="center"/>
    </xf>
    <xf numFmtId="0" fontId="20" fillId="10" borderId="39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32" xfId="0" applyFont="1" applyFill="1" applyBorder="1" applyAlignment="1">
      <alignment horizontal="center" vertical="center" wrapText="1"/>
    </xf>
    <xf numFmtId="0" fontId="5" fillId="14" borderId="42" xfId="0" applyFont="1" applyFill="1" applyBorder="1" applyAlignment="1">
      <alignment horizontal="center" vertical="center"/>
    </xf>
    <xf numFmtId="0" fontId="5" fillId="14" borderId="36" xfId="0" applyFont="1" applyFill="1" applyBorder="1" applyAlignment="1">
      <alignment horizontal="center" vertical="center"/>
    </xf>
    <xf numFmtId="0" fontId="5" fillId="14" borderId="37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44" xfId="0" applyFont="1" applyFill="1" applyBorder="1" applyAlignment="1">
      <alignment horizontal="center" vertical="center"/>
    </xf>
    <xf numFmtId="0" fontId="5" fillId="14" borderId="45" xfId="0" applyFont="1" applyFill="1" applyBorder="1" applyAlignment="1">
      <alignment horizontal="center" vertical="center"/>
    </xf>
    <xf numFmtId="2" fontId="21" fillId="14" borderId="38" xfId="0" applyNumberFormat="1" applyFont="1" applyFill="1" applyBorder="1" applyAlignment="1">
      <alignment horizontal="center" vertical="center" wrapText="1"/>
    </xf>
    <xf numFmtId="2" fontId="21" fillId="14" borderId="46" xfId="0" applyNumberFormat="1" applyFont="1" applyFill="1" applyBorder="1" applyAlignment="1">
      <alignment horizontal="center" vertical="center" wrapText="1"/>
    </xf>
    <xf numFmtId="2" fontId="21" fillId="14" borderId="8" xfId="0" applyNumberFormat="1" applyFont="1" applyFill="1" applyBorder="1" applyAlignment="1">
      <alignment horizontal="center" vertical="center" wrapText="1"/>
    </xf>
    <xf numFmtId="0" fontId="21" fillId="10" borderId="36" xfId="0" applyFont="1" applyFill="1" applyBorder="1" applyAlignment="1">
      <alignment horizontal="center" vertical="center" wrapText="1"/>
    </xf>
    <xf numFmtId="0" fontId="21" fillId="10" borderId="37" xfId="0" applyFont="1" applyFill="1" applyBorder="1" applyAlignment="1">
      <alignment horizontal="center" vertical="center" wrapText="1"/>
    </xf>
    <xf numFmtId="0" fontId="11" fillId="10" borderId="40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20" fillId="10" borderId="33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34" xfId="0" applyFont="1" applyFill="1" applyBorder="1" applyAlignment="1">
      <alignment horizontal="center" vertical="center" wrapText="1"/>
    </xf>
    <xf numFmtId="0" fontId="20" fillId="10" borderId="40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20" xfId="0" applyFont="1" applyFill="1" applyBorder="1" applyAlignment="1">
      <alignment horizontal="center" vertical="center" wrapText="1"/>
    </xf>
    <xf numFmtId="2" fontId="20" fillId="10" borderId="42" xfId="0" applyNumberFormat="1" applyFont="1" applyFill="1" applyBorder="1" applyAlignment="1">
      <alignment horizontal="center" vertical="center"/>
    </xf>
    <xf numFmtId="2" fontId="20" fillId="10" borderId="36" xfId="0" applyNumberFormat="1" applyFont="1" applyFill="1" applyBorder="1" applyAlignment="1">
      <alignment horizontal="center" vertical="center"/>
    </xf>
    <xf numFmtId="2" fontId="20" fillId="10" borderId="47" xfId="0" applyNumberFormat="1" applyFont="1" applyFill="1" applyBorder="1" applyAlignment="1">
      <alignment horizontal="center" vertical="center"/>
    </xf>
    <xf numFmtId="2" fontId="20" fillId="10" borderId="48" xfId="0" applyNumberFormat="1" applyFont="1" applyFill="1" applyBorder="1" applyAlignment="1">
      <alignment horizontal="center" vertical="center"/>
    </xf>
    <xf numFmtId="2" fontId="20" fillId="10" borderId="41" xfId="0" applyNumberFormat="1" applyFont="1" applyFill="1" applyBorder="1" applyAlignment="1">
      <alignment horizontal="center" vertical="center"/>
    </xf>
    <xf numFmtId="2" fontId="20" fillId="10" borderId="49" xfId="0" applyNumberFormat="1" applyFont="1" applyFill="1" applyBorder="1" applyAlignment="1">
      <alignment horizontal="center" vertical="center"/>
    </xf>
    <xf numFmtId="0" fontId="20" fillId="0" borderId="42" xfId="0" applyFont="1" applyBorder="1" applyAlignment="1" applyProtection="1">
      <alignment horizontal="left" vertical="top"/>
      <protection locked="0"/>
    </xf>
    <xf numFmtId="0" fontId="20" fillId="0" borderId="36" xfId="0" applyFont="1" applyBorder="1" applyAlignment="1" applyProtection="1">
      <alignment horizontal="left" vertical="top"/>
      <protection locked="0"/>
    </xf>
    <xf numFmtId="0" fontId="20" fillId="0" borderId="37" xfId="0" applyFont="1" applyBorder="1" applyAlignment="1" applyProtection="1">
      <alignment horizontal="left" vertical="top"/>
      <protection locked="0"/>
    </xf>
    <xf numFmtId="0" fontId="20" fillId="0" borderId="43" xfId="0" applyFont="1" applyBorder="1" applyAlignment="1" applyProtection="1">
      <alignment horizontal="left" vertical="top"/>
      <protection locked="0"/>
    </xf>
    <xf numFmtId="0" fontId="20" fillId="0" borderId="44" xfId="0" applyFont="1" applyBorder="1" applyAlignment="1" applyProtection="1">
      <alignment horizontal="left" vertical="top"/>
      <protection locked="0"/>
    </xf>
    <xf numFmtId="0" fontId="20" fillId="0" borderId="45" xfId="0" applyFont="1" applyBorder="1" applyAlignment="1" applyProtection="1">
      <alignment horizontal="left" vertical="top"/>
      <protection locked="0"/>
    </xf>
    <xf numFmtId="0" fontId="21" fillId="10" borderId="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0" fontId="2" fillId="4" borderId="41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0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right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F7493"/>
      <color rgb="FF107992"/>
      <color rgb="FFED6731"/>
      <color rgb="FF0F6D93"/>
      <color rgb="FF274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0" fmlaLink="$B$49" fmlaRange="$B$32:$B$39" sel="7" val="0"/>
</file>

<file path=xl/ctrlProps/ctrlProp2.xml><?xml version="1.0" encoding="utf-8"?>
<formControlPr xmlns="http://schemas.microsoft.com/office/spreadsheetml/2009/9/main" objectType="Drop" dropStyle="combo" dx="20" fmlaLink="$B$55" fmlaRange="$B$32:$B$39" sel="2" val="0"/>
</file>

<file path=xl/ctrlProps/ctrlProp3.xml><?xml version="1.0" encoding="utf-8"?>
<formControlPr xmlns="http://schemas.microsoft.com/office/spreadsheetml/2009/9/main" objectType="Drop" dropStyle="combo" dx="20" fmlaLink="$B$61" fmlaRange="$B$32:$B$39" sel="2" val="0"/>
</file>

<file path=xl/ctrlProps/ctrlProp4.xml><?xml version="1.0" encoding="utf-8"?>
<formControlPr xmlns="http://schemas.microsoft.com/office/spreadsheetml/2009/9/main" objectType="Drop" dropStyle="combo" dx="20" fmlaLink="$B$67" fmlaRange="$B$32:$B$39" sel="2" val="0"/>
</file>

<file path=xl/ctrlProps/ctrlProp5.xml><?xml version="1.0" encoding="utf-8"?>
<formControlPr xmlns="http://schemas.microsoft.com/office/spreadsheetml/2009/9/main" objectType="Drop" dropLines="20" dropStyle="combo" dx="20" fmlaLink="$C$54" fmlaRange="$C$9:$C$25" noThreeD="1" sel="2" val="0"/>
</file>

<file path=xl/ctrlProps/ctrlProp6.xml><?xml version="1.0" encoding="utf-8"?>
<formControlPr xmlns="http://schemas.microsoft.com/office/spreadsheetml/2009/9/main" objectType="Drop" dropLines="20" dropStyle="combo" dx="20" fmlaLink="$C$60" fmlaRange="$C$9:$C$25" noThreeD="1" sel="2" val="0"/>
</file>

<file path=xl/ctrlProps/ctrlProp7.xml><?xml version="1.0" encoding="utf-8"?>
<formControlPr xmlns="http://schemas.microsoft.com/office/spreadsheetml/2009/9/main" objectType="Drop" dropLines="20" dropStyle="combo" dx="20" fmlaLink="$C$66" fmlaRange="$C$9:$C$25" noThreeD="1" sel="2" val="0"/>
</file>

<file path=xl/ctrlProps/ctrlProp8.xml><?xml version="1.0" encoding="utf-8"?>
<formControlPr xmlns="http://schemas.microsoft.com/office/spreadsheetml/2009/9/main" objectType="Drop" dropLines="17" dropStyle="combo" dx="20" fmlaLink="$C$48" fmlaRange="$C$9:$C$25" noThreeD="1" sel="9" val="0"/>
</file>

<file path=xl/ctrlProps/ctrlProp9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4" Type="http://schemas.openxmlformats.org/officeDocument/2006/relationships/image" Target="../media/image18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26894</xdr:colOff>
      <xdr:row>0</xdr:row>
      <xdr:rowOff>98612</xdr:rowOff>
    </xdr:from>
    <xdr:to>
      <xdr:col>23</xdr:col>
      <xdr:colOff>430306</xdr:colOff>
      <xdr:row>21</xdr:row>
      <xdr:rowOff>123899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1835" y="98612"/>
          <a:ext cx="5602941" cy="4158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272142</xdr:colOff>
      <xdr:row>0</xdr:row>
      <xdr:rowOff>96981</xdr:rowOff>
    </xdr:from>
    <xdr:to>
      <xdr:col>34</xdr:col>
      <xdr:colOff>266984</xdr:colOff>
      <xdr:row>21</xdr:row>
      <xdr:rowOff>96980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9015" y="96981"/>
          <a:ext cx="6090842" cy="4156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2</xdr:col>
          <xdr:colOff>0</xdr:colOff>
          <xdr:row>44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2</xdr:col>
          <xdr:colOff>0</xdr:colOff>
          <xdr:row>45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1094509</xdr:colOff>
      <xdr:row>33</xdr:row>
      <xdr:rowOff>39936</xdr:rowOff>
    </xdr:from>
    <xdr:to>
      <xdr:col>20</xdr:col>
      <xdr:colOff>36735</xdr:colOff>
      <xdr:row>37</xdr:row>
      <xdr:rowOff>1</xdr:rowOff>
    </xdr:to>
    <xdr:pic>
      <xdr:nvPicPr>
        <xdr:cNvPr id="6" name="Obrázek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5" b="63333"/>
        <a:stretch/>
      </xdr:blipFill>
      <xdr:spPr bwMode="auto">
        <a:xfrm>
          <a:off x="5652654" y="6731681"/>
          <a:ext cx="12533536" cy="68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44</xdr:row>
          <xdr:rowOff>190500</xdr:rowOff>
        </xdr:from>
        <xdr:to>
          <xdr:col>2</xdr:col>
          <xdr:colOff>9525</xdr:colOff>
          <xdr:row>46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46</xdr:row>
          <xdr:rowOff>0</xdr:rowOff>
        </xdr:from>
        <xdr:to>
          <xdr:col>2</xdr:col>
          <xdr:colOff>9525</xdr:colOff>
          <xdr:row>47</xdr:row>
          <xdr:rowOff>9525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40</xdr:row>
          <xdr:rowOff>9525</xdr:rowOff>
        </xdr:from>
        <xdr:to>
          <xdr:col>3</xdr:col>
          <xdr:colOff>2931</xdr:colOff>
          <xdr:row>40</xdr:row>
          <xdr:rowOff>257175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41</xdr:row>
          <xdr:rowOff>9525</xdr:rowOff>
        </xdr:from>
        <xdr:to>
          <xdr:col>3</xdr:col>
          <xdr:colOff>2931</xdr:colOff>
          <xdr:row>41</xdr:row>
          <xdr:rowOff>247650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42</xdr:row>
          <xdr:rowOff>9525</xdr:rowOff>
        </xdr:from>
        <xdr:to>
          <xdr:col>3</xdr:col>
          <xdr:colOff>2931</xdr:colOff>
          <xdr:row>42</xdr:row>
          <xdr:rowOff>257175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17</xdr:col>
      <xdr:colOff>293077</xdr:colOff>
      <xdr:row>29</xdr:row>
      <xdr:rowOff>13025</xdr:rowOff>
    </xdr:from>
    <xdr:to>
      <xdr:col>29</xdr:col>
      <xdr:colOff>9498</xdr:colOff>
      <xdr:row>34</xdr:row>
      <xdr:rowOff>208862</xdr:rowOff>
    </xdr:to>
    <xdr:pic>
      <xdr:nvPicPr>
        <xdr:cNvPr id="9" name="Obrázek 8">
          <a:extLst>
            <a:ext uri="{FF2B5EF4-FFF2-40B4-BE49-F238E27FC236}">
              <a16:creationId xmlns:lc="http://schemas.openxmlformats.org/drawingml/2006/lockedCanvas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id="{8669E51D-259F-4AA7-8D9B-D3ABF417D93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9" t="10397" r="68964" b="79974"/>
        <a:stretch/>
      </xdr:blipFill>
      <xdr:spPr>
        <a:xfrm>
          <a:off x="6929641" y="280051"/>
          <a:ext cx="4086524" cy="1068555"/>
        </a:xfrm>
        <a:prstGeom prst="rect">
          <a:avLst/>
        </a:prstGeom>
        <a:solidFill>
          <a:srgbClr val="006282"/>
        </a:solidFill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39</xdr:row>
          <xdr:rowOff>19050</xdr:rowOff>
        </xdr:from>
        <xdr:to>
          <xdr:col>3</xdr:col>
          <xdr:colOff>0</xdr:colOff>
          <xdr:row>40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3663</xdr:colOff>
          <xdr:row>45</xdr:row>
          <xdr:rowOff>190499</xdr:rowOff>
        </xdr:from>
        <xdr:to>
          <xdr:col>29</xdr:col>
          <xdr:colOff>7327</xdr:colOff>
          <xdr:row>71</xdr:row>
          <xdr:rowOff>14653</xdr:rowOff>
        </xdr:to>
        <xdr:sp macro="" textlink="">
          <xdr:nvSpPr>
            <xdr:cNvPr id="2087" name="Group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PODKLADY ZPRACOVAL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17722</xdr:colOff>
      <xdr:row>18</xdr:row>
      <xdr:rowOff>35441</xdr:rowOff>
    </xdr:from>
    <xdr:to>
      <xdr:col>8</xdr:col>
      <xdr:colOff>310117</xdr:colOff>
      <xdr:row>42</xdr:row>
      <xdr:rowOff>123146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2" y="3384697"/>
          <a:ext cx="4572000" cy="4553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218854</xdr:colOff>
      <xdr:row>33</xdr:row>
      <xdr:rowOff>158248</xdr:rowOff>
    </xdr:from>
    <xdr:to>
      <xdr:col>5</xdr:col>
      <xdr:colOff>218854</xdr:colOff>
      <xdr:row>40</xdr:row>
      <xdr:rowOff>25341</xdr:rowOff>
    </xdr:to>
    <xdr:cxnSp macro="">
      <xdr:nvCxnSpPr>
        <xdr:cNvPr id="8" name="Přímá spojnice se šipkou 7"/>
        <xdr:cNvCxnSpPr/>
      </xdr:nvCxnSpPr>
      <xdr:spPr>
        <a:xfrm flipV="1">
          <a:off x="3266854" y="6193288"/>
          <a:ext cx="0" cy="114725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460744</xdr:colOff>
      <xdr:row>33</xdr:row>
      <xdr:rowOff>168349</xdr:rowOff>
    </xdr:from>
    <xdr:to>
      <xdr:col>5</xdr:col>
      <xdr:colOff>258726</xdr:colOff>
      <xdr:row>33</xdr:row>
      <xdr:rowOff>178982</xdr:rowOff>
    </xdr:to>
    <xdr:cxnSp macro="">
      <xdr:nvCxnSpPr>
        <xdr:cNvPr id="9" name="Přímá spojnice se šipkou 8"/>
        <xdr:cNvCxnSpPr/>
      </xdr:nvCxnSpPr>
      <xdr:spPr>
        <a:xfrm flipH="1" flipV="1">
          <a:off x="460744" y="6308651"/>
          <a:ext cx="2243470" cy="1063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198120</xdr:colOff>
      <xdr:row>40</xdr:row>
      <xdr:rowOff>45720</xdr:rowOff>
    </xdr:from>
    <xdr:to>
      <xdr:col>9</xdr:col>
      <xdr:colOff>30126</xdr:colOff>
      <xdr:row>40</xdr:row>
      <xdr:rowOff>65569</xdr:rowOff>
    </xdr:to>
    <xdr:cxnSp macro="">
      <xdr:nvCxnSpPr>
        <xdr:cNvPr id="11" name="Přímá spojnice se šipkou 10"/>
        <xdr:cNvCxnSpPr/>
      </xdr:nvCxnSpPr>
      <xdr:spPr>
        <a:xfrm flipH="1" flipV="1">
          <a:off x="3246120" y="7360920"/>
          <a:ext cx="2270406" cy="1984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26582</xdr:colOff>
      <xdr:row>13</xdr:row>
      <xdr:rowOff>97465</xdr:rowOff>
    </xdr:from>
    <xdr:to>
      <xdr:col>9</xdr:col>
      <xdr:colOff>35442</xdr:colOff>
      <xdr:row>40</xdr:row>
      <xdr:rowOff>70883</xdr:rowOff>
    </xdr:to>
    <xdr:cxnSp macro="">
      <xdr:nvCxnSpPr>
        <xdr:cNvPr id="13" name="Přímá spojnice 12"/>
        <xdr:cNvCxnSpPr/>
      </xdr:nvCxnSpPr>
      <xdr:spPr>
        <a:xfrm flipH="1" flipV="1">
          <a:off x="4917559" y="2516372"/>
          <a:ext cx="8860" cy="499730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354418</xdr:colOff>
      <xdr:row>13</xdr:row>
      <xdr:rowOff>97465</xdr:rowOff>
    </xdr:from>
    <xdr:to>
      <xdr:col>9</xdr:col>
      <xdr:colOff>17721</xdr:colOff>
      <xdr:row>13</xdr:row>
      <xdr:rowOff>97465</xdr:rowOff>
    </xdr:to>
    <xdr:cxnSp macro="">
      <xdr:nvCxnSpPr>
        <xdr:cNvPr id="15" name="Přímá spojnice 14"/>
        <xdr:cNvCxnSpPr/>
      </xdr:nvCxnSpPr>
      <xdr:spPr>
        <a:xfrm>
          <a:off x="4634023" y="2516372"/>
          <a:ext cx="27467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54429</xdr:colOff>
      <xdr:row>21</xdr:row>
      <xdr:rowOff>76200</xdr:rowOff>
    </xdr:from>
    <xdr:to>
      <xdr:col>21</xdr:col>
      <xdr:colOff>467509</xdr:colOff>
      <xdr:row>41</xdr:row>
      <xdr:rowOff>161365</xdr:rowOff>
    </xdr:to>
    <xdr:pic>
      <xdr:nvPicPr>
        <xdr:cNvPr id="19" name="Obrázek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" t="14117"/>
        <a:stretch/>
      </xdr:blipFill>
      <xdr:spPr bwMode="auto">
        <a:xfrm>
          <a:off x="6150429" y="3962400"/>
          <a:ext cx="7118680" cy="3786308"/>
        </a:xfrm>
        <a:prstGeom prst="rect">
          <a:avLst/>
        </a:prstGeom>
        <a:solidFill>
          <a:srgbClr val="FF0000"/>
        </a:solidFill>
        <a:extLst/>
      </xdr:spPr>
    </xdr:pic>
    <xdr:clientData/>
  </xdr:twoCellAnchor>
  <xdr:twoCellAnchor>
    <xdr:from>
      <xdr:col>15</xdr:col>
      <xdr:colOff>394447</xdr:colOff>
      <xdr:row>42</xdr:row>
      <xdr:rowOff>80682</xdr:rowOff>
    </xdr:from>
    <xdr:to>
      <xdr:col>23</xdr:col>
      <xdr:colOff>71719</xdr:colOff>
      <xdr:row>42</xdr:row>
      <xdr:rowOff>98612</xdr:rowOff>
    </xdr:to>
    <xdr:cxnSp macro="">
      <xdr:nvCxnSpPr>
        <xdr:cNvPr id="20" name="Přímá spojnice se šipkou 19"/>
        <xdr:cNvCxnSpPr/>
      </xdr:nvCxnSpPr>
      <xdr:spPr>
        <a:xfrm flipH="1">
          <a:off x="9538447" y="7611035"/>
          <a:ext cx="4554072" cy="1793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76513</xdr:colOff>
      <xdr:row>42</xdr:row>
      <xdr:rowOff>71718</xdr:rowOff>
    </xdr:from>
    <xdr:to>
      <xdr:col>23</xdr:col>
      <xdr:colOff>89647</xdr:colOff>
      <xdr:row>59</xdr:row>
      <xdr:rowOff>167932</xdr:rowOff>
    </xdr:to>
    <xdr:cxnSp macro="">
      <xdr:nvCxnSpPr>
        <xdr:cNvPr id="22" name="Přímá spojnice 21"/>
        <xdr:cNvCxnSpPr/>
      </xdr:nvCxnSpPr>
      <xdr:spPr>
        <a:xfrm flipV="1">
          <a:off x="13487713" y="7602071"/>
          <a:ext cx="13134" cy="314421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358588</xdr:colOff>
      <xdr:row>31</xdr:row>
      <xdr:rowOff>107576</xdr:rowOff>
    </xdr:from>
    <xdr:to>
      <xdr:col>15</xdr:col>
      <xdr:colOff>362654</xdr:colOff>
      <xdr:row>42</xdr:row>
      <xdr:rowOff>88918</xdr:rowOff>
    </xdr:to>
    <xdr:cxnSp macro="">
      <xdr:nvCxnSpPr>
        <xdr:cNvPr id="25" name="Přímá spojnice se šipkou 24"/>
        <xdr:cNvCxnSpPr/>
      </xdr:nvCxnSpPr>
      <xdr:spPr>
        <a:xfrm flipH="1" flipV="1">
          <a:off x="9502588" y="5665694"/>
          <a:ext cx="4066" cy="195357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394447</xdr:colOff>
      <xdr:row>31</xdr:row>
      <xdr:rowOff>107576</xdr:rowOff>
    </xdr:from>
    <xdr:to>
      <xdr:col>15</xdr:col>
      <xdr:colOff>367553</xdr:colOff>
      <xdr:row>31</xdr:row>
      <xdr:rowOff>116541</xdr:rowOff>
    </xdr:to>
    <xdr:cxnSp macro="">
      <xdr:nvCxnSpPr>
        <xdr:cNvPr id="27" name="Přímá spojnice se šipkou 26"/>
        <xdr:cNvCxnSpPr/>
      </xdr:nvCxnSpPr>
      <xdr:spPr>
        <a:xfrm>
          <a:off x="7100047" y="5665694"/>
          <a:ext cx="2411506" cy="896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403412</xdr:colOff>
      <xdr:row>32</xdr:row>
      <xdr:rowOff>53787</xdr:rowOff>
    </xdr:from>
    <xdr:to>
      <xdr:col>23</xdr:col>
      <xdr:colOff>537883</xdr:colOff>
      <xdr:row>32</xdr:row>
      <xdr:rowOff>62753</xdr:rowOff>
    </xdr:to>
    <xdr:cxnSp macro="">
      <xdr:nvCxnSpPr>
        <xdr:cNvPr id="33" name="Přímá spojnice se šipkou 32"/>
        <xdr:cNvCxnSpPr/>
      </xdr:nvCxnSpPr>
      <xdr:spPr>
        <a:xfrm flipV="1">
          <a:off x="12595412" y="5791199"/>
          <a:ext cx="1353671" cy="896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555171</xdr:colOff>
      <xdr:row>32</xdr:row>
      <xdr:rowOff>44824</xdr:rowOff>
    </xdr:from>
    <xdr:to>
      <xdr:col>23</xdr:col>
      <xdr:colOff>564776</xdr:colOff>
      <xdr:row>62</xdr:row>
      <xdr:rowOff>21771</xdr:rowOff>
    </xdr:to>
    <xdr:cxnSp macro="">
      <xdr:nvCxnSpPr>
        <xdr:cNvPr id="35" name="Přímá spojnice 34"/>
        <xdr:cNvCxnSpPr/>
      </xdr:nvCxnSpPr>
      <xdr:spPr>
        <a:xfrm flipV="1">
          <a:off x="14575971" y="5966653"/>
          <a:ext cx="9605" cy="557220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106685</xdr:colOff>
      <xdr:row>61</xdr:row>
      <xdr:rowOff>219666</xdr:rowOff>
    </xdr:from>
    <xdr:to>
      <xdr:col>23</xdr:col>
      <xdr:colOff>575662</xdr:colOff>
      <xdr:row>62</xdr:row>
      <xdr:rowOff>5763</xdr:rowOff>
    </xdr:to>
    <xdr:cxnSp macro="">
      <xdr:nvCxnSpPr>
        <xdr:cNvPr id="37" name="Přímá spojnice se šipkou 36"/>
        <xdr:cNvCxnSpPr/>
      </xdr:nvCxnSpPr>
      <xdr:spPr>
        <a:xfrm flipH="1" flipV="1">
          <a:off x="12908285" y="11508152"/>
          <a:ext cx="1688177" cy="1469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130629</xdr:colOff>
      <xdr:row>13</xdr:row>
      <xdr:rowOff>107576</xdr:rowOff>
    </xdr:from>
    <xdr:to>
      <xdr:col>7</xdr:col>
      <xdr:colOff>340659</xdr:colOff>
      <xdr:row>13</xdr:row>
      <xdr:rowOff>108857</xdr:rowOff>
    </xdr:to>
    <xdr:cxnSp macro="">
      <xdr:nvCxnSpPr>
        <xdr:cNvPr id="39" name="Přímá spojnice 38"/>
        <xdr:cNvCxnSpPr/>
      </xdr:nvCxnSpPr>
      <xdr:spPr>
        <a:xfrm flipV="1">
          <a:off x="3788229" y="2513319"/>
          <a:ext cx="819630" cy="128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402681</xdr:colOff>
      <xdr:row>59</xdr:row>
      <xdr:rowOff>149690</xdr:rowOff>
    </xdr:from>
    <xdr:to>
      <xdr:col>23</xdr:col>
      <xdr:colOff>65984</xdr:colOff>
      <xdr:row>59</xdr:row>
      <xdr:rowOff>149690</xdr:rowOff>
    </xdr:to>
    <xdr:cxnSp macro="">
      <xdr:nvCxnSpPr>
        <xdr:cNvPr id="32" name="Přímá spojnice 31"/>
        <xdr:cNvCxnSpPr/>
      </xdr:nvCxnSpPr>
      <xdr:spPr>
        <a:xfrm>
          <a:off x="13813881" y="11068061"/>
          <a:ext cx="27290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215153</xdr:colOff>
      <xdr:row>26</xdr:row>
      <xdr:rowOff>161363</xdr:rowOff>
    </xdr:from>
    <xdr:to>
      <xdr:col>15</xdr:col>
      <xdr:colOff>510988</xdr:colOff>
      <xdr:row>28</xdr:row>
      <xdr:rowOff>116540</xdr:rowOff>
    </xdr:to>
    <xdr:sp macro="" textlink="">
      <xdr:nvSpPr>
        <xdr:cNvPr id="28" name="Plus 27"/>
        <xdr:cNvSpPr/>
      </xdr:nvSpPr>
      <xdr:spPr>
        <a:xfrm>
          <a:off x="9359153" y="4823010"/>
          <a:ext cx="295835" cy="313765"/>
        </a:xfrm>
        <a:prstGeom prst="mathPlus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15</xdr:col>
      <xdr:colOff>224118</xdr:colOff>
      <xdr:row>30</xdr:row>
      <xdr:rowOff>152397</xdr:rowOff>
    </xdr:from>
    <xdr:to>
      <xdr:col>15</xdr:col>
      <xdr:colOff>519953</xdr:colOff>
      <xdr:row>32</xdr:row>
      <xdr:rowOff>107574</xdr:rowOff>
    </xdr:to>
    <xdr:sp macro="" textlink="">
      <xdr:nvSpPr>
        <xdr:cNvPr id="36" name="Plus 35"/>
        <xdr:cNvSpPr/>
      </xdr:nvSpPr>
      <xdr:spPr>
        <a:xfrm>
          <a:off x="9368118" y="5531221"/>
          <a:ext cx="295835" cy="313765"/>
        </a:xfrm>
        <a:prstGeom prst="mathPlus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15</xdr:col>
      <xdr:colOff>505224</xdr:colOff>
      <xdr:row>27</xdr:row>
      <xdr:rowOff>153681</xdr:rowOff>
    </xdr:from>
    <xdr:to>
      <xdr:col>19</xdr:col>
      <xdr:colOff>326571</xdr:colOff>
      <xdr:row>29</xdr:row>
      <xdr:rowOff>10886</xdr:rowOff>
    </xdr:to>
    <xdr:sp macro="" textlink="">
      <xdr:nvSpPr>
        <xdr:cNvPr id="29" name="TextovéPole 28"/>
        <xdr:cNvSpPr txBox="1"/>
      </xdr:nvSpPr>
      <xdr:spPr>
        <a:xfrm>
          <a:off x="9649224" y="5150224"/>
          <a:ext cx="2259747" cy="227319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s-CZ" sz="1100" b="1"/>
            <a:t>Dispoziční</a:t>
          </a:r>
          <a:r>
            <a:rPr lang="cs-CZ" sz="1100" b="1" baseline="0"/>
            <a:t> tlak oběhového čerpadla</a:t>
          </a:r>
          <a:endParaRPr lang="cs-CZ" sz="1100" b="1"/>
        </a:p>
      </xdr:txBody>
    </xdr:sp>
    <xdr:clientData/>
  </xdr:twoCellAnchor>
  <xdr:twoCellAnchor>
    <xdr:from>
      <xdr:col>15</xdr:col>
      <xdr:colOff>519954</xdr:colOff>
      <xdr:row>31</xdr:row>
      <xdr:rowOff>26895</xdr:rowOff>
    </xdr:from>
    <xdr:to>
      <xdr:col>19</xdr:col>
      <xdr:colOff>272144</xdr:colOff>
      <xdr:row>32</xdr:row>
      <xdr:rowOff>65314</xdr:rowOff>
    </xdr:to>
    <xdr:sp macro="" textlink="">
      <xdr:nvSpPr>
        <xdr:cNvPr id="38" name="TextovéPole 37"/>
        <xdr:cNvSpPr txBox="1"/>
      </xdr:nvSpPr>
      <xdr:spPr>
        <a:xfrm>
          <a:off x="9663954" y="5763666"/>
          <a:ext cx="2190590" cy="22347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s-CZ" sz="1100" b="1"/>
            <a:t>Pracovní bod oběhového</a:t>
          </a:r>
          <a:r>
            <a:rPr lang="cs-CZ" sz="1100" b="1" baseline="0"/>
            <a:t> čerpadla</a:t>
          </a:r>
          <a:endParaRPr lang="cs-CZ" sz="1100" b="1"/>
        </a:p>
      </xdr:txBody>
    </xdr:sp>
    <xdr:clientData/>
  </xdr:twoCellAnchor>
  <xdr:twoCellAnchor>
    <xdr:from>
      <xdr:col>15</xdr:col>
      <xdr:colOff>354106</xdr:colOff>
      <xdr:row>28</xdr:row>
      <xdr:rowOff>48056</xdr:rowOff>
    </xdr:from>
    <xdr:to>
      <xdr:col>15</xdr:col>
      <xdr:colOff>363071</xdr:colOff>
      <xdr:row>30</xdr:row>
      <xdr:rowOff>167093</xdr:rowOff>
    </xdr:to>
    <xdr:cxnSp macro="">
      <xdr:nvCxnSpPr>
        <xdr:cNvPr id="34" name="Přímá spojnice 33"/>
        <xdr:cNvCxnSpPr/>
      </xdr:nvCxnSpPr>
      <xdr:spPr>
        <a:xfrm flipH="1" flipV="1">
          <a:off x="9498106" y="5068291"/>
          <a:ext cx="8965" cy="477626"/>
        </a:xfrm>
        <a:prstGeom prst="line">
          <a:avLst/>
        </a:prstGeom>
        <a:ln w="28575">
          <a:solidFill>
            <a:srgbClr val="00B05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376518</xdr:colOff>
      <xdr:row>27</xdr:row>
      <xdr:rowOff>170330</xdr:rowOff>
    </xdr:from>
    <xdr:to>
      <xdr:col>15</xdr:col>
      <xdr:colOff>233082</xdr:colOff>
      <xdr:row>27</xdr:row>
      <xdr:rowOff>170330</xdr:rowOff>
    </xdr:to>
    <xdr:cxnSp macro="">
      <xdr:nvCxnSpPr>
        <xdr:cNvPr id="40" name="Přímá spojnice se šipkou 39"/>
        <xdr:cNvCxnSpPr/>
      </xdr:nvCxnSpPr>
      <xdr:spPr>
        <a:xfrm flipH="1">
          <a:off x="7082118" y="5011271"/>
          <a:ext cx="2294964" cy="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555173</xdr:colOff>
      <xdr:row>4</xdr:row>
      <xdr:rowOff>82513</xdr:rowOff>
    </xdr:from>
    <xdr:to>
      <xdr:col>19</xdr:col>
      <xdr:colOff>1</xdr:colOff>
      <xdr:row>19</xdr:row>
      <xdr:rowOff>47229</xdr:rowOff>
    </xdr:to>
    <xdr:pic>
      <xdr:nvPicPr>
        <xdr:cNvPr id="30" name="Obrázek 2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1573" y="822742"/>
          <a:ext cx="5540828" cy="274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587828</xdr:colOff>
      <xdr:row>9</xdr:row>
      <xdr:rowOff>166265</xdr:rowOff>
    </xdr:from>
    <xdr:to>
      <xdr:col>6</xdr:col>
      <xdr:colOff>130629</xdr:colOff>
      <xdr:row>17</xdr:row>
      <xdr:rowOff>10886</xdr:rowOff>
    </xdr:to>
    <xdr:pic>
      <xdr:nvPicPr>
        <xdr:cNvPr id="3" name="Obrázek 2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2625" t="19579" r="39963" b="66768"/>
        <a:stretch/>
      </xdr:blipFill>
      <xdr:spPr>
        <a:xfrm>
          <a:off x="587828" y="1831779"/>
          <a:ext cx="3200401" cy="1325078"/>
        </a:xfrm>
        <a:prstGeom prst="rect">
          <a:avLst/>
        </a:prstGeom>
      </xdr:spPr>
    </xdr:pic>
    <xdr:clientData/>
  </xdr:twoCellAnchor>
  <xdr:twoCellAnchor editAs="oneCell">
    <xdr:from>
      <xdr:col>1</xdr:col>
      <xdr:colOff>489855</xdr:colOff>
      <xdr:row>43</xdr:row>
      <xdr:rowOff>54428</xdr:rowOff>
    </xdr:from>
    <xdr:to>
      <xdr:col>22</xdr:col>
      <xdr:colOff>391885</xdr:colOff>
      <xdr:row>60</xdr:row>
      <xdr:rowOff>185055</xdr:rowOff>
    </xdr:to>
    <xdr:pic>
      <xdr:nvPicPr>
        <xdr:cNvPr id="7" name="Obrázek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0512" t="30693" r="14751" b="37453"/>
        <a:stretch/>
      </xdr:blipFill>
      <xdr:spPr>
        <a:xfrm>
          <a:off x="1099455" y="8011885"/>
          <a:ext cx="12703630" cy="3276599"/>
        </a:xfrm>
        <a:prstGeom prst="rect">
          <a:avLst/>
        </a:prstGeom>
      </xdr:spPr>
    </xdr:pic>
    <xdr:clientData/>
  </xdr:twoCellAnchor>
  <xdr:twoCellAnchor>
    <xdr:from>
      <xdr:col>2</xdr:col>
      <xdr:colOff>239486</xdr:colOff>
      <xdr:row>43</xdr:row>
      <xdr:rowOff>10886</xdr:rowOff>
    </xdr:from>
    <xdr:to>
      <xdr:col>7</xdr:col>
      <xdr:colOff>108857</xdr:colOff>
      <xdr:row>44</xdr:row>
      <xdr:rowOff>32657</xdr:rowOff>
    </xdr:to>
    <xdr:sp macro="" textlink="">
      <xdr:nvSpPr>
        <xdr:cNvPr id="10" name="Obdélník 9"/>
        <xdr:cNvSpPr/>
      </xdr:nvSpPr>
      <xdr:spPr>
        <a:xfrm>
          <a:off x="1458686" y="7968343"/>
          <a:ext cx="2917371" cy="20682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511629</xdr:colOff>
      <xdr:row>34</xdr:row>
      <xdr:rowOff>10886</xdr:rowOff>
    </xdr:from>
    <xdr:to>
      <xdr:col>18</xdr:col>
      <xdr:colOff>478971</xdr:colOff>
      <xdr:row>52</xdr:row>
      <xdr:rowOff>10886</xdr:rowOff>
    </xdr:to>
    <xdr:cxnSp macro="">
      <xdr:nvCxnSpPr>
        <xdr:cNvPr id="41" name="Přímá spojnice se šipkou 40"/>
        <xdr:cNvCxnSpPr/>
      </xdr:nvCxnSpPr>
      <xdr:spPr>
        <a:xfrm>
          <a:off x="1121229" y="6302829"/>
          <a:ext cx="10330542" cy="3331028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</xdr:row>
      <xdr:rowOff>38100</xdr:rowOff>
    </xdr:from>
    <xdr:to>
      <xdr:col>6</xdr:col>
      <xdr:colOff>22025</xdr:colOff>
      <xdr:row>9</xdr:row>
      <xdr:rowOff>137160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220980"/>
          <a:ext cx="508254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998220</xdr:colOff>
      <xdr:row>15</xdr:row>
      <xdr:rowOff>137160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4560"/>
          <a:ext cx="99822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6</xdr:col>
      <xdr:colOff>98225</xdr:colOff>
      <xdr:row>29</xdr:row>
      <xdr:rowOff>30480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1840"/>
          <a:ext cx="5173980" cy="2042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6</xdr:col>
      <xdr:colOff>311585</xdr:colOff>
      <xdr:row>39</xdr:row>
      <xdr:rowOff>22860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9280"/>
          <a:ext cx="538734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20876</xdr:colOff>
      <xdr:row>31</xdr:row>
      <xdr:rowOff>31316</xdr:rowOff>
    </xdr:from>
    <xdr:to>
      <xdr:col>26</xdr:col>
      <xdr:colOff>318056</xdr:colOff>
      <xdr:row>57</xdr:row>
      <xdr:rowOff>99896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0794" y="5855919"/>
          <a:ext cx="6956851" cy="4953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60961</xdr:colOff>
      <xdr:row>22</xdr:row>
      <xdr:rowOff>105444</xdr:rowOff>
    </xdr:to>
    <xdr:pic>
      <xdr:nvPicPr>
        <xdr:cNvPr id="2" name="Obrázek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2"/>
        <a:stretch/>
      </xdr:blipFill>
      <xdr:spPr bwMode="auto">
        <a:xfrm>
          <a:off x="1" y="0"/>
          <a:ext cx="5547360" cy="4128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182879</xdr:rowOff>
    </xdr:from>
    <xdr:to>
      <xdr:col>8</xdr:col>
      <xdr:colOff>571500</xdr:colOff>
      <xdr:row>35</xdr:row>
      <xdr:rowOff>161878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5919"/>
          <a:ext cx="5448300" cy="4916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8</xdr:col>
      <xdr:colOff>577160</xdr:colOff>
      <xdr:row>47</xdr:row>
      <xdr:rowOff>175260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1477"/>
          <a:ext cx="5453960" cy="2174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8</xdr:col>
      <xdr:colOff>580974</xdr:colOff>
      <xdr:row>75</xdr:row>
      <xdr:rowOff>129540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8240"/>
          <a:ext cx="5457774" cy="506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15240</xdr:rowOff>
    </xdr:from>
    <xdr:to>
      <xdr:col>9</xdr:col>
      <xdr:colOff>25478</xdr:colOff>
      <xdr:row>6</xdr:row>
      <xdr:rowOff>45720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240"/>
          <a:ext cx="5489018" cy="112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594360</xdr:colOff>
      <xdr:row>29</xdr:row>
      <xdr:rowOff>62856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80760" cy="5366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Relationship Id="rId9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AA70"/>
  <sheetViews>
    <sheetView zoomScale="70" zoomScaleNormal="70" workbookViewId="0">
      <selection activeCell="J55" sqref="J55"/>
    </sheetView>
  </sheetViews>
  <sheetFormatPr defaultRowHeight="15" x14ac:dyDescent="0.25"/>
  <cols>
    <col min="2" max="2" width="20.140625" bestFit="1" customWidth="1"/>
    <col min="3" max="3" width="14" customWidth="1"/>
    <col min="4" max="4" width="14.28515625" bestFit="1" customWidth="1"/>
    <col min="5" max="5" width="9.28515625" bestFit="1" customWidth="1"/>
    <col min="6" max="6" width="16.28515625" bestFit="1" customWidth="1"/>
    <col min="7" max="7" width="20.140625" bestFit="1" customWidth="1"/>
    <col min="8" max="8" width="20.5703125" bestFit="1" customWidth="1"/>
    <col min="9" max="9" width="13.7109375" bestFit="1" customWidth="1"/>
    <col min="10" max="10" width="14.28515625" bestFit="1" customWidth="1"/>
    <col min="11" max="11" width="12.28515625" bestFit="1" customWidth="1"/>
    <col min="12" max="12" width="10.7109375" bestFit="1" customWidth="1"/>
    <col min="16" max="16" width="14.5703125" customWidth="1"/>
    <col min="17" max="17" width="15.42578125" customWidth="1"/>
    <col min="20" max="20" width="16" customWidth="1"/>
  </cols>
  <sheetData>
    <row r="1" spans="2:16" x14ac:dyDescent="0.25">
      <c r="B1" s="198" t="s">
        <v>13</v>
      </c>
      <c r="C1" s="198"/>
      <c r="D1" s="198"/>
      <c r="E1" s="198"/>
      <c r="F1" s="198"/>
      <c r="G1" s="198"/>
      <c r="H1" s="198"/>
      <c r="J1" s="198" t="s">
        <v>14</v>
      </c>
      <c r="K1" s="198"/>
      <c r="L1" s="198"/>
      <c r="M1" s="198"/>
      <c r="N1" s="198"/>
      <c r="O1" s="198"/>
      <c r="P1" s="198"/>
    </row>
    <row r="2" spans="2:16" x14ac:dyDescent="0.25">
      <c r="B2" s="6" t="s">
        <v>12</v>
      </c>
      <c r="J2" s="6" t="s">
        <v>12</v>
      </c>
    </row>
    <row r="3" spans="2:16" ht="45" x14ac:dyDescent="0.25">
      <c r="B3" s="1" t="s">
        <v>1</v>
      </c>
      <c r="C3" s="1" t="s">
        <v>6</v>
      </c>
      <c r="D3" s="1" t="s">
        <v>4</v>
      </c>
      <c r="E3" s="1" t="s">
        <v>5</v>
      </c>
      <c r="F3" s="1" t="s">
        <v>7</v>
      </c>
      <c r="G3" s="2" t="s">
        <v>2</v>
      </c>
      <c r="H3" s="2" t="s">
        <v>3</v>
      </c>
      <c r="J3" s="1" t="s">
        <v>1</v>
      </c>
      <c r="K3" s="1" t="s">
        <v>6</v>
      </c>
      <c r="L3" s="1" t="s">
        <v>4</v>
      </c>
      <c r="M3" s="1" t="s">
        <v>5</v>
      </c>
      <c r="N3" s="1" t="s">
        <v>7</v>
      </c>
      <c r="O3" s="2" t="s">
        <v>2</v>
      </c>
      <c r="P3" s="2" t="s">
        <v>3</v>
      </c>
    </row>
    <row r="4" spans="2:16" x14ac:dyDescent="0.25">
      <c r="B4" s="3" t="s">
        <v>0</v>
      </c>
      <c r="C4" s="3">
        <v>0.5</v>
      </c>
      <c r="D4" s="3">
        <v>0</v>
      </c>
      <c r="E4" s="3">
        <v>1000.3</v>
      </c>
      <c r="F4">
        <f>C4/E4</f>
        <v>4.9985004498650403E-4</v>
      </c>
      <c r="G4" s="3">
        <v>169.3</v>
      </c>
      <c r="H4" s="3">
        <v>0.6</v>
      </c>
      <c r="J4" s="3" t="s">
        <v>0</v>
      </c>
      <c r="K4" s="3">
        <v>0.5</v>
      </c>
      <c r="L4" s="3">
        <v>20</v>
      </c>
      <c r="M4" s="3">
        <v>997.5</v>
      </c>
      <c r="N4">
        <f>K4/M4</f>
        <v>5.0125313283208019E-4</v>
      </c>
      <c r="O4" s="3">
        <v>147.4</v>
      </c>
      <c r="P4" s="3">
        <v>0.6</v>
      </c>
    </row>
    <row r="5" spans="2:16" x14ac:dyDescent="0.25">
      <c r="B5" s="4" t="s">
        <v>0</v>
      </c>
      <c r="C5" s="4">
        <v>1</v>
      </c>
      <c r="D5" s="4">
        <v>0</v>
      </c>
      <c r="E5" s="4">
        <v>1000.3</v>
      </c>
      <c r="F5">
        <f>C5/E5</f>
        <v>9.9970008997300806E-4</v>
      </c>
      <c r="G5" s="4">
        <v>574.79999999999995</v>
      </c>
      <c r="H5" s="4">
        <v>1.2</v>
      </c>
      <c r="J5" s="4" t="s">
        <v>0</v>
      </c>
      <c r="K5" s="4">
        <v>1</v>
      </c>
      <c r="L5" s="4">
        <v>20</v>
      </c>
      <c r="M5" s="3">
        <v>997.5</v>
      </c>
      <c r="N5">
        <f>K5/M5</f>
        <v>1.0025062656641604E-3</v>
      </c>
      <c r="O5" s="4">
        <v>508.5</v>
      </c>
      <c r="P5" s="4">
        <v>1.2</v>
      </c>
    </row>
    <row r="7" spans="2:16" x14ac:dyDescent="0.25">
      <c r="G7">
        <f>G5/G4</f>
        <v>3.3951565268753687</v>
      </c>
      <c r="O7">
        <f>O5/O4</f>
        <v>3.4497964721845316</v>
      </c>
    </row>
    <row r="8" spans="2:16" x14ac:dyDescent="0.25">
      <c r="B8" s="195" t="s">
        <v>9</v>
      </c>
      <c r="C8" s="195"/>
      <c r="D8" s="195"/>
      <c r="E8" s="195"/>
      <c r="F8" s="195"/>
      <c r="G8" s="195"/>
      <c r="H8" s="195"/>
      <c r="J8" s="195" t="s">
        <v>16</v>
      </c>
      <c r="K8" s="195"/>
      <c r="L8" s="195"/>
      <c r="M8" s="195"/>
      <c r="N8" s="195"/>
      <c r="O8" s="195"/>
      <c r="P8" s="195"/>
    </row>
    <row r="10" spans="2:16" x14ac:dyDescent="0.25">
      <c r="B10" s="6" t="s">
        <v>12</v>
      </c>
      <c r="J10" s="6" t="s">
        <v>12</v>
      </c>
    </row>
    <row r="11" spans="2:16" x14ac:dyDescent="0.25">
      <c r="B11" s="3" t="s">
        <v>11</v>
      </c>
      <c r="C11" s="3">
        <v>0.5</v>
      </c>
      <c r="D11" s="3">
        <v>0</v>
      </c>
      <c r="E11" s="3">
        <v>1000.3</v>
      </c>
      <c r="F11">
        <f>C11/E11</f>
        <v>4.9985004498650403E-4</v>
      </c>
      <c r="G11" s="3">
        <v>481.7</v>
      </c>
      <c r="H11" s="3">
        <v>0.93</v>
      </c>
      <c r="J11" s="3" t="s">
        <v>11</v>
      </c>
      <c r="K11" s="3">
        <v>0.5</v>
      </c>
      <c r="L11" s="3">
        <v>0</v>
      </c>
      <c r="M11" s="3">
        <v>997.5</v>
      </c>
      <c r="N11">
        <f>K11/M11</f>
        <v>5.0125313283208019E-4</v>
      </c>
      <c r="O11" s="3">
        <v>422.5</v>
      </c>
      <c r="P11" s="3">
        <v>0.93</v>
      </c>
    </row>
    <row r="12" spans="2:16" x14ac:dyDescent="0.25">
      <c r="B12" s="3" t="s">
        <v>11</v>
      </c>
      <c r="C12" s="4">
        <v>1</v>
      </c>
      <c r="D12" s="4">
        <v>0</v>
      </c>
      <c r="E12" s="4">
        <v>1000.3</v>
      </c>
      <c r="F12">
        <f>C12/E12</f>
        <v>9.9970008997300806E-4</v>
      </c>
      <c r="G12" s="4">
        <v>1633.9</v>
      </c>
      <c r="H12" s="4">
        <v>1.85</v>
      </c>
      <c r="J12" s="3" t="s">
        <v>11</v>
      </c>
      <c r="K12" s="4">
        <v>1</v>
      </c>
      <c r="L12" s="4">
        <v>0</v>
      </c>
      <c r="M12" s="3">
        <v>997.5</v>
      </c>
      <c r="N12">
        <f>K12/M12</f>
        <v>1.0025062656641604E-3</v>
      </c>
      <c r="O12" s="4">
        <v>1472.3</v>
      </c>
      <c r="P12" s="4">
        <v>1.85</v>
      </c>
    </row>
    <row r="14" spans="2:16" x14ac:dyDescent="0.25">
      <c r="G14">
        <f>G12/G11</f>
        <v>3.3919451941042147</v>
      </c>
      <c r="O14">
        <f>O12/O11</f>
        <v>3.4847337278106507</v>
      </c>
    </row>
    <row r="15" spans="2:16" x14ac:dyDescent="0.25">
      <c r="B15" s="195" t="s">
        <v>9</v>
      </c>
      <c r="C15" s="195"/>
      <c r="D15" s="195"/>
      <c r="E15" s="195"/>
      <c r="F15" s="195"/>
      <c r="G15" s="195"/>
      <c r="H15" s="195"/>
      <c r="J15" s="195" t="s">
        <v>17</v>
      </c>
      <c r="K15" s="195"/>
      <c r="L15" s="195"/>
      <c r="M15" s="195"/>
      <c r="N15" s="195"/>
      <c r="O15" s="195"/>
      <c r="P15" s="195"/>
    </row>
    <row r="17" spans="1:26" x14ac:dyDescent="0.25">
      <c r="B17" s="7" t="s">
        <v>10</v>
      </c>
      <c r="J17" s="7" t="s">
        <v>10</v>
      </c>
    </row>
    <row r="18" spans="1:26" x14ac:dyDescent="0.25">
      <c r="B18" s="3" t="s">
        <v>8</v>
      </c>
      <c r="C18" s="3">
        <v>0.5</v>
      </c>
      <c r="D18" s="3">
        <v>0</v>
      </c>
      <c r="E18" s="3">
        <v>1000.3</v>
      </c>
      <c r="F18">
        <f>C18/E18</f>
        <v>4.9985004498650403E-4</v>
      </c>
      <c r="G18" s="3">
        <v>186.5</v>
      </c>
      <c r="H18" s="3">
        <v>0.62</v>
      </c>
      <c r="J18" s="3" t="s">
        <v>8</v>
      </c>
      <c r="K18" s="3">
        <v>0.5</v>
      </c>
      <c r="L18" s="3">
        <v>0</v>
      </c>
      <c r="M18" s="3">
        <v>997.5</v>
      </c>
      <c r="N18">
        <f>K18/M18</f>
        <v>5.0125313283208019E-4</v>
      </c>
      <c r="O18" s="3">
        <v>163.80000000000001</v>
      </c>
      <c r="P18" s="3">
        <v>0.62</v>
      </c>
    </row>
    <row r="19" spans="1:26" x14ac:dyDescent="0.25">
      <c r="B19" s="3" t="s">
        <v>8</v>
      </c>
      <c r="C19" s="4">
        <v>1</v>
      </c>
      <c r="D19" s="4">
        <v>0</v>
      </c>
      <c r="E19" s="4">
        <v>1000.3</v>
      </c>
      <c r="F19">
        <f>C19/E19</f>
        <v>9.9970008997300806E-4</v>
      </c>
      <c r="G19" s="4">
        <v>639.79999999999995</v>
      </c>
      <c r="H19" s="4">
        <v>1.24</v>
      </c>
      <c r="J19" s="3" t="s">
        <v>8</v>
      </c>
      <c r="K19" s="4">
        <v>1</v>
      </c>
      <c r="L19" s="4">
        <v>0</v>
      </c>
      <c r="M19" s="3">
        <v>997.5</v>
      </c>
      <c r="N19">
        <f>K19/M19</f>
        <v>1.0025062656641604E-3</v>
      </c>
      <c r="O19" s="4">
        <v>581.4</v>
      </c>
      <c r="P19" s="4">
        <v>1.24</v>
      </c>
    </row>
    <row r="21" spans="1:26" x14ac:dyDescent="0.25">
      <c r="G21">
        <f>G19/G18</f>
        <v>3.430563002680965</v>
      </c>
      <c r="O21">
        <f>O19/O18</f>
        <v>3.5494505494505493</v>
      </c>
    </row>
    <row r="22" spans="1:26" x14ac:dyDescent="0.25">
      <c r="B22" s="195" t="s">
        <v>9</v>
      </c>
      <c r="C22" s="195"/>
      <c r="D22" s="195"/>
      <c r="E22" s="195"/>
      <c r="F22" s="195"/>
      <c r="G22" s="195"/>
      <c r="H22" s="195"/>
      <c r="J22" s="195" t="s">
        <v>15</v>
      </c>
      <c r="K22" s="195"/>
      <c r="L22" s="195"/>
      <c r="M22" s="195"/>
      <c r="N22" s="195"/>
      <c r="O22" s="195"/>
      <c r="P22" s="195"/>
    </row>
    <row r="23" spans="1:26" x14ac:dyDescent="0.25">
      <c r="Z23" t="s">
        <v>25</v>
      </c>
    </row>
    <row r="24" spans="1:26" ht="14.45" customHeight="1" x14ac:dyDescent="0.25">
      <c r="B24" s="8" t="s">
        <v>18</v>
      </c>
      <c r="C24" s="8"/>
      <c r="D24" s="13">
        <v>1.79E-6</v>
      </c>
      <c r="E24" s="8" t="s">
        <v>19</v>
      </c>
      <c r="F24" s="196" t="s">
        <v>78</v>
      </c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Z24" t="s">
        <v>26</v>
      </c>
    </row>
    <row r="25" spans="1:26" x14ac:dyDescent="0.25">
      <c r="B25" s="8" t="s">
        <v>20</v>
      </c>
      <c r="C25" s="8"/>
      <c r="D25" s="13">
        <v>6.0000000000000002E-6</v>
      </c>
      <c r="E25" s="8" t="s">
        <v>19</v>
      </c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Z25" t="s">
        <v>27</v>
      </c>
    </row>
    <row r="26" spans="1:26" ht="14.45" customHeight="1" x14ac:dyDescent="0.25">
      <c r="B26" s="8" t="s">
        <v>21</v>
      </c>
      <c r="C26" s="8"/>
      <c r="D26" s="14">
        <f>D25/D24</f>
        <v>3.3519553072625698</v>
      </c>
      <c r="E26" s="8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</row>
    <row r="27" spans="1:26" x14ac:dyDescent="0.25">
      <c r="B27" s="9" t="s">
        <v>29</v>
      </c>
      <c r="C27" s="9"/>
      <c r="D27" s="12">
        <v>1000.3</v>
      </c>
      <c r="E27" s="9" t="s">
        <v>30</v>
      </c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</row>
    <row r="28" spans="1:26" x14ac:dyDescent="0.25">
      <c r="B28" s="9" t="s">
        <v>31</v>
      </c>
      <c r="C28" s="9"/>
      <c r="D28" s="12">
        <v>972</v>
      </c>
      <c r="E28" s="9" t="s">
        <v>30</v>
      </c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</row>
    <row r="31" spans="1:26" ht="45" x14ac:dyDescent="0.25">
      <c r="B31" s="27" t="s">
        <v>72</v>
      </c>
      <c r="C31" s="90" t="s">
        <v>93</v>
      </c>
      <c r="D31" s="29" t="s">
        <v>23</v>
      </c>
      <c r="E31" s="29" t="s">
        <v>24</v>
      </c>
    </row>
    <row r="32" spans="1:26" x14ac:dyDescent="0.25">
      <c r="A32" s="185" t="s">
        <v>12</v>
      </c>
      <c r="B32" s="25" t="s">
        <v>41</v>
      </c>
      <c r="C32" s="4">
        <v>1</v>
      </c>
      <c r="D32" s="11">
        <v>2.6200000000000001E-2</v>
      </c>
      <c r="E32" s="11">
        <f>3.14*D32*D32/4</f>
        <v>5.3885540000000011E-4</v>
      </c>
    </row>
    <row r="33" spans="1:27" x14ac:dyDescent="0.25">
      <c r="A33" s="185"/>
      <c r="B33" s="25" t="s">
        <v>42</v>
      </c>
      <c r="C33" s="4">
        <v>2</v>
      </c>
      <c r="D33" s="11">
        <v>3.2599999999999997E-2</v>
      </c>
      <c r="E33" s="11">
        <f>3.14*D33*D33/4</f>
        <v>8.3426659999999995E-4</v>
      </c>
      <c r="G33" t="s">
        <v>79</v>
      </c>
    </row>
    <row r="34" spans="1:27" x14ac:dyDescent="0.25">
      <c r="A34" s="185"/>
      <c r="B34" s="25" t="s">
        <v>43</v>
      </c>
      <c r="C34" s="4">
        <v>3</v>
      </c>
      <c r="D34" s="11">
        <v>4.0800000000000003E-2</v>
      </c>
      <c r="E34" s="11">
        <f t="shared" ref="E34:E36" si="0">3.14*D34*D34/4</f>
        <v>1.3067424000000002E-3</v>
      </c>
    </row>
    <row r="35" spans="1:27" x14ac:dyDescent="0.25">
      <c r="A35" s="185"/>
      <c r="B35" s="25" t="s">
        <v>44</v>
      </c>
      <c r="C35" s="4">
        <v>4</v>
      </c>
      <c r="D35" s="11">
        <v>5.1400000000000001E-2</v>
      </c>
      <c r="E35" s="11">
        <f t="shared" si="0"/>
        <v>2.0739386000000002E-3</v>
      </c>
    </row>
    <row r="36" spans="1:27" x14ac:dyDescent="0.25">
      <c r="A36" s="185"/>
      <c r="B36" s="25" t="s">
        <v>45</v>
      </c>
      <c r="C36" s="4">
        <v>5</v>
      </c>
      <c r="D36" s="11">
        <v>6.1400000000000003E-2</v>
      </c>
      <c r="E36" s="11">
        <f t="shared" si="0"/>
        <v>2.9594186000000003E-3</v>
      </c>
    </row>
    <row r="37" spans="1:27" x14ac:dyDescent="0.25">
      <c r="A37" s="185" t="s">
        <v>10</v>
      </c>
      <c r="B37" s="26" t="s">
        <v>46</v>
      </c>
      <c r="C37" s="4">
        <v>6</v>
      </c>
      <c r="D37" s="10">
        <v>2.5000000000000001E-2</v>
      </c>
      <c r="E37" s="10">
        <f>3.14*D37*D37/4</f>
        <v>4.9062500000000007E-4</v>
      </c>
    </row>
    <row r="38" spans="1:27" x14ac:dyDescent="0.25">
      <c r="A38" s="185"/>
      <c r="B38" s="26" t="s">
        <v>47</v>
      </c>
      <c r="C38" s="4">
        <v>7</v>
      </c>
      <c r="D38" s="10">
        <v>3.2000000000000001E-2</v>
      </c>
      <c r="E38" s="10">
        <f>3.14*D38*D38/4</f>
        <v>8.0384E-4</v>
      </c>
    </row>
    <row r="39" spans="1:27" x14ac:dyDescent="0.25">
      <c r="A39" s="185"/>
      <c r="B39" s="26" t="s">
        <v>48</v>
      </c>
      <c r="C39" s="4">
        <v>8</v>
      </c>
      <c r="D39" s="10">
        <v>3.9E-2</v>
      </c>
      <c r="E39" s="10">
        <f>3.14*D39*D39/4</f>
        <v>1.1939850000000001E-3</v>
      </c>
      <c r="L39" s="16"/>
    </row>
    <row r="41" spans="1:27" ht="15.75" thickBot="1" x14ac:dyDescent="0.3">
      <c r="B41" s="24"/>
    </row>
    <row r="42" spans="1:27" ht="14.45" customHeight="1" thickTop="1" thickBot="1" x14ac:dyDescent="0.3">
      <c r="B42" s="197" t="s">
        <v>70</v>
      </c>
      <c r="C42" s="197"/>
      <c r="D42" s="192" t="s">
        <v>28</v>
      </c>
      <c r="E42" s="193"/>
      <c r="F42" s="194"/>
      <c r="G42" s="189" t="s">
        <v>68</v>
      </c>
      <c r="H42" s="190"/>
      <c r="I42" s="190"/>
      <c r="J42" s="190"/>
      <c r="K42" s="191"/>
      <c r="L42" s="186" t="s">
        <v>64</v>
      </c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8"/>
    </row>
    <row r="43" spans="1:27" ht="61.5" thickTop="1" thickBot="1" x14ac:dyDescent="0.3">
      <c r="A43" s="61" t="s">
        <v>71</v>
      </c>
      <c r="B43" s="48" t="s">
        <v>22</v>
      </c>
      <c r="C43" s="50" t="s">
        <v>37</v>
      </c>
      <c r="D43" s="48" t="s">
        <v>32</v>
      </c>
      <c r="E43" s="49" t="s">
        <v>33</v>
      </c>
      <c r="F43" s="50" t="s">
        <v>34</v>
      </c>
      <c r="G43" s="57" t="s">
        <v>35</v>
      </c>
      <c r="H43" s="58" t="s">
        <v>36</v>
      </c>
      <c r="I43" s="59" t="s">
        <v>38</v>
      </c>
      <c r="J43" s="59" t="s">
        <v>39</v>
      </c>
      <c r="K43" s="60" t="s">
        <v>40</v>
      </c>
      <c r="L43" s="62" t="s">
        <v>62</v>
      </c>
      <c r="M43" s="63" t="s">
        <v>63</v>
      </c>
      <c r="N43" s="64" t="s">
        <v>56</v>
      </c>
      <c r="O43" s="63" t="s">
        <v>74</v>
      </c>
      <c r="P43" s="63" t="s">
        <v>58</v>
      </c>
      <c r="Q43" s="63" t="s">
        <v>60</v>
      </c>
      <c r="R43" s="63" t="s">
        <v>75</v>
      </c>
      <c r="S43" s="65" t="s">
        <v>77</v>
      </c>
      <c r="T43" s="63" t="s">
        <v>76</v>
      </c>
      <c r="U43" s="63" t="s">
        <v>61</v>
      </c>
      <c r="V43" s="63" t="s">
        <v>57</v>
      </c>
      <c r="W43" s="63" t="s">
        <v>66</v>
      </c>
      <c r="X43" s="66" t="s">
        <v>73</v>
      </c>
      <c r="Y43" s="66" t="s">
        <v>65</v>
      </c>
      <c r="Z43" s="67" t="s">
        <v>67</v>
      </c>
      <c r="AA43" s="41" t="s">
        <v>69</v>
      </c>
    </row>
    <row r="44" spans="1:27" ht="15.75" thickTop="1" x14ac:dyDescent="0.25">
      <c r="A44" s="82">
        <v>1</v>
      </c>
      <c r="B44" s="51"/>
      <c r="C44" s="52">
        <v>5</v>
      </c>
      <c r="D44" s="47">
        <v>0.4</v>
      </c>
      <c r="E44" s="74">
        <f>D44/$D$27</f>
        <v>3.9988003598920329E-4</v>
      </c>
      <c r="F44" s="79">
        <f>E44/$C$52</f>
        <v>0.49746222630026282</v>
      </c>
      <c r="G44" s="76">
        <f>F44*B52/$D$24</f>
        <v>8893.1794645857044</v>
      </c>
      <c r="H44" s="33">
        <f>0.316/SQRT(SQRT(G44))</f>
        <v>3.2540394855410645E-2</v>
      </c>
      <c r="I44" s="34">
        <f>H44*$D$27*F44*F44/(2*$B$52)</f>
        <v>125.86162412188837</v>
      </c>
      <c r="J44" s="32">
        <f>I44*C44</f>
        <v>629.30812060944186</v>
      </c>
      <c r="K44" s="35">
        <f>1.33*J44</f>
        <v>836.97980041055769</v>
      </c>
      <c r="L44" s="68">
        <v>4</v>
      </c>
      <c r="M44" s="69">
        <v>2</v>
      </c>
      <c r="N44" s="69">
        <v>2</v>
      </c>
      <c r="O44" s="69">
        <v>1</v>
      </c>
      <c r="P44" s="69">
        <v>0</v>
      </c>
      <c r="Q44" s="69">
        <v>0</v>
      </c>
      <c r="R44" s="69">
        <v>2</v>
      </c>
      <c r="S44" s="70">
        <f>1.3*L44+2*M44+1*N44+2*O44+0.5*P44+0.5*Q44+0.5*R44</f>
        <v>14.2</v>
      </c>
      <c r="T44" s="32">
        <f>S44*$D$27*F44*F44/2</f>
        <v>1757.5546410887071</v>
      </c>
      <c r="U44" s="69">
        <v>1500</v>
      </c>
      <c r="V44" s="69">
        <v>0</v>
      </c>
      <c r="W44" s="69"/>
      <c r="X44" s="69"/>
      <c r="Y44" s="32">
        <f>T44+U44+V44+W44+X44</f>
        <v>3257.5546410887073</v>
      </c>
      <c r="Z44" s="35">
        <f>1.33*Y44</f>
        <v>4332.547672647981</v>
      </c>
      <c r="AA44" s="42">
        <f>K44+Z44</f>
        <v>5169.5274730585388</v>
      </c>
    </row>
    <row r="45" spans="1:27" x14ac:dyDescent="0.25">
      <c r="A45" s="83">
        <v>2</v>
      </c>
      <c r="B45" s="53"/>
      <c r="C45" s="54">
        <v>15</v>
      </c>
      <c r="D45" s="44">
        <v>0.4</v>
      </c>
      <c r="E45" s="31">
        <f>D45/$D$27</f>
        <v>3.9988003598920329E-4</v>
      </c>
      <c r="F45" s="80">
        <f>E45/$C$58</f>
        <v>0.47931924397932663</v>
      </c>
      <c r="G45" s="77">
        <f>F45*$B$58/$D$24</f>
        <v>8729.5013149307524</v>
      </c>
      <c r="H45" s="21">
        <f>0.316/SQRT(SQRT(G45))</f>
        <v>3.2691867039263162E-2</v>
      </c>
      <c r="I45" s="22">
        <f>H45*$D$27*F45*F45/(2*$B$58)</f>
        <v>115.23174225763259</v>
      </c>
      <c r="J45" s="20">
        <f>I45*C45</f>
        <v>1728.4761338644889</v>
      </c>
      <c r="K45" s="36">
        <f>1.33*J45</f>
        <v>2298.8732580397705</v>
      </c>
      <c r="L45" s="44"/>
      <c r="M45" s="19"/>
      <c r="N45" s="19"/>
      <c r="O45" s="19"/>
      <c r="P45" s="19"/>
      <c r="Q45" s="19"/>
      <c r="R45" s="19"/>
      <c r="S45" s="30">
        <f t="shared" ref="S45:S47" si="1">1.3*L45+2*M45+1*N45+2*O45+0.5*P45+0.5*Q45+0.5*R45</f>
        <v>0</v>
      </c>
      <c r="T45" s="20">
        <f t="shared" ref="T45:T47" si="2">S45*$D$27*F45*F45/2</f>
        <v>0</v>
      </c>
      <c r="U45" s="19">
        <v>0</v>
      </c>
      <c r="V45" s="19"/>
      <c r="W45" s="19"/>
      <c r="X45" s="19"/>
      <c r="Y45" s="20">
        <f t="shared" ref="Y45:Y47" si="3">T45+U45+V45+W45+X45</f>
        <v>0</v>
      </c>
      <c r="Z45" s="36">
        <f>1.33*Y45</f>
        <v>0</v>
      </c>
      <c r="AA45" s="42">
        <f>K45+Z45</f>
        <v>2298.8732580397705</v>
      </c>
    </row>
    <row r="46" spans="1:27" x14ac:dyDescent="0.25">
      <c r="A46" s="83">
        <v>3</v>
      </c>
      <c r="B46" s="53"/>
      <c r="C46" s="54">
        <v>250</v>
      </c>
      <c r="D46" s="45">
        <v>0.2</v>
      </c>
      <c r="E46" s="31">
        <f>D46/$D$27</f>
        <v>1.9994001799460164E-4</v>
      </c>
      <c r="F46" s="80">
        <f>E46/$C$64</f>
        <v>0.23965962198966331</v>
      </c>
      <c r="G46" s="77">
        <f>F46*$B$64/$D$24</f>
        <v>4364.7506574653762</v>
      </c>
      <c r="H46" s="21">
        <f>0.316/SQRT(SQRT(G46))</f>
        <v>3.8877400885814692E-2</v>
      </c>
      <c r="I46" s="22">
        <f>H46*$D$27*F46*F46/(2*$B$58)</f>
        <v>34.258601941734099</v>
      </c>
      <c r="J46" s="20">
        <f>I46*C46</f>
        <v>8564.6504854335253</v>
      </c>
      <c r="K46" s="36">
        <f>1.33*J46</f>
        <v>11390.98514562659</v>
      </c>
      <c r="L46" s="44"/>
      <c r="M46" s="19"/>
      <c r="N46" s="19">
        <v>2</v>
      </c>
      <c r="O46" s="19"/>
      <c r="P46" s="19"/>
      <c r="Q46" s="19">
        <v>2</v>
      </c>
      <c r="R46" s="19"/>
      <c r="S46" s="30">
        <f t="shared" si="1"/>
        <v>3</v>
      </c>
      <c r="T46" s="20">
        <f t="shared" si="2"/>
        <v>86.180948148827966</v>
      </c>
      <c r="U46" s="19">
        <v>0</v>
      </c>
      <c r="V46" s="19"/>
      <c r="W46" s="19"/>
      <c r="X46" s="19"/>
      <c r="Y46" s="20">
        <f t="shared" si="3"/>
        <v>86.180948148827966</v>
      </c>
      <c r="Z46" s="36">
        <f>1.33*Y46</f>
        <v>114.6206610379412</v>
      </c>
      <c r="AA46" s="42">
        <f>K46+Z46</f>
        <v>11505.605806664531</v>
      </c>
    </row>
    <row r="47" spans="1:27" ht="15.75" thickBot="1" x14ac:dyDescent="0.3">
      <c r="A47" s="84">
        <v>4</v>
      </c>
      <c r="B47" s="55"/>
      <c r="C47" s="56">
        <v>0</v>
      </c>
      <c r="D47" s="46">
        <v>0</v>
      </c>
      <c r="E47" s="75">
        <f>D47/$D$27</f>
        <v>0</v>
      </c>
      <c r="F47" s="81">
        <f>E47/$C$70</f>
        <v>0</v>
      </c>
      <c r="G47" s="78">
        <f>F47*$B$70/$D$24</f>
        <v>0</v>
      </c>
      <c r="H47" s="38" t="e">
        <f>0.316/SQRT(SQRT(G47))</f>
        <v>#DIV/0!</v>
      </c>
      <c r="I47" s="39" t="e">
        <f>H47*$D$27*F47*F47/(2*$B$58)</f>
        <v>#DIV/0!</v>
      </c>
      <c r="J47" s="37" t="e">
        <f>I47*C47</f>
        <v>#DIV/0!</v>
      </c>
      <c r="K47" s="40" t="e">
        <f>1.33*J47</f>
        <v>#DIV/0!</v>
      </c>
      <c r="L47" s="71"/>
      <c r="M47" s="72"/>
      <c r="N47" s="72"/>
      <c r="O47" s="72"/>
      <c r="P47" s="72"/>
      <c r="Q47" s="72"/>
      <c r="R47" s="72"/>
      <c r="S47" s="73">
        <f t="shared" si="1"/>
        <v>0</v>
      </c>
      <c r="T47" s="37">
        <f t="shared" si="2"/>
        <v>0</v>
      </c>
      <c r="U47" s="72">
        <v>0</v>
      </c>
      <c r="V47" s="72">
        <v>0</v>
      </c>
      <c r="W47" s="72"/>
      <c r="X47" s="72"/>
      <c r="Y47" s="37">
        <f t="shared" si="3"/>
        <v>0</v>
      </c>
      <c r="Z47" s="40">
        <f>1.33*Y47</f>
        <v>0</v>
      </c>
      <c r="AA47" s="43" t="e">
        <f>K47+Z47</f>
        <v>#DIV/0!</v>
      </c>
    </row>
    <row r="48" spans="1:27" ht="15.75" thickTop="1" x14ac:dyDescent="0.25">
      <c r="B48" s="195" t="s">
        <v>52</v>
      </c>
      <c r="C48" s="195"/>
      <c r="AA48" s="15" t="e">
        <f>SUM(AA44:AA47)</f>
        <v>#DIV/0!</v>
      </c>
    </row>
    <row r="49" spans="2:3" x14ac:dyDescent="0.25">
      <c r="B49">
        <v>7</v>
      </c>
    </row>
    <row r="50" spans="2:3" x14ac:dyDescent="0.25">
      <c r="B50" s="195" t="s">
        <v>50</v>
      </c>
      <c r="C50" s="195"/>
    </row>
    <row r="51" spans="2:3" x14ac:dyDescent="0.25">
      <c r="B51" s="5" t="s">
        <v>49</v>
      </c>
      <c r="C51" s="5" t="s">
        <v>51</v>
      </c>
    </row>
    <row r="52" spans="2:3" x14ac:dyDescent="0.25">
      <c r="B52" s="5">
        <f>LOOKUP(B49,C32:C39,D32:D39)</f>
        <v>3.2000000000000001E-2</v>
      </c>
      <c r="C52" s="5">
        <f>LOOKUP(B49,C32:C39,E32:E39)</f>
        <v>8.0384E-4</v>
      </c>
    </row>
    <row r="54" spans="2:3" x14ac:dyDescent="0.25">
      <c r="B54" s="195" t="s">
        <v>53</v>
      </c>
      <c r="C54" s="195"/>
    </row>
    <row r="55" spans="2:3" x14ac:dyDescent="0.25">
      <c r="B55">
        <v>2</v>
      </c>
    </row>
    <row r="56" spans="2:3" x14ac:dyDescent="0.25">
      <c r="B56" s="195" t="s">
        <v>50</v>
      </c>
      <c r="C56" s="195"/>
    </row>
    <row r="57" spans="2:3" x14ac:dyDescent="0.25">
      <c r="B57" s="5" t="s">
        <v>49</v>
      </c>
      <c r="C57" s="5" t="s">
        <v>51</v>
      </c>
    </row>
    <row r="58" spans="2:3" x14ac:dyDescent="0.25">
      <c r="B58" s="5">
        <f>LOOKUP(B55,C32:C39,D32:D39)</f>
        <v>3.2599999999999997E-2</v>
      </c>
      <c r="C58" s="5">
        <f>LOOKUP(B55,C32:C39,E32:E39)</f>
        <v>8.3426659999999995E-4</v>
      </c>
    </row>
    <row r="60" spans="2:3" x14ac:dyDescent="0.25">
      <c r="B60" s="195" t="s">
        <v>54</v>
      </c>
      <c r="C60" s="195"/>
    </row>
    <row r="61" spans="2:3" x14ac:dyDescent="0.25">
      <c r="B61">
        <v>2</v>
      </c>
    </row>
    <row r="62" spans="2:3" x14ac:dyDescent="0.25">
      <c r="B62" s="195" t="s">
        <v>50</v>
      </c>
      <c r="C62" s="195"/>
    </row>
    <row r="63" spans="2:3" x14ac:dyDescent="0.25">
      <c r="B63" s="5" t="s">
        <v>49</v>
      </c>
      <c r="C63" s="5" t="s">
        <v>51</v>
      </c>
    </row>
    <row r="64" spans="2:3" x14ac:dyDescent="0.25">
      <c r="B64" s="5">
        <f>LOOKUP(B61,C32:C39,D32:D39)</f>
        <v>3.2599999999999997E-2</v>
      </c>
      <c r="C64" s="5">
        <f>LOOKUP(B61,C32:C39,E32:E39)</f>
        <v>8.3426659999999995E-4</v>
      </c>
    </row>
    <row r="66" spans="2:3" x14ac:dyDescent="0.25">
      <c r="B66" s="195" t="s">
        <v>55</v>
      </c>
      <c r="C66" s="195"/>
    </row>
    <row r="67" spans="2:3" x14ac:dyDescent="0.25">
      <c r="B67">
        <v>2</v>
      </c>
    </row>
    <row r="68" spans="2:3" x14ac:dyDescent="0.25">
      <c r="B68" s="195" t="s">
        <v>50</v>
      </c>
      <c r="C68" s="195"/>
    </row>
    <row r="69" spans="2:3" x14ac:dyDescent="0.25">
      <c r="B69" s="5" t="s">
        <v>49</v>
      </c>
      <c r="C69" s="5" t="s">
        <v>51</v>
      </c>
    </row>
    <row r="70" spans="2:3" x14ac:dyDescent="0.25">
      <c r="B70" s="5">
        <f>LOOKUP(B67,C32:C39,D32:D39)</f>
        <v>3.2599999999999997E-2</v>
      </c>
      <c r="C70" s="5">
        <f>LOOKUP(B67,C32:C39,E32:E39)</f>
        <v>8.3426659999999995E-4</v>
      </c>
    </row>
  </sheetData>
  <sheetProtection password="DC53" sheet="1" objects="1" scenarios="1"/>
  <mergeCells count="23">
    <mergeCell ref="B1:H1"/>
    <mergeCell ref="J1:P1"/>
    <mergeCell ref="J8:P8"/>
    <mergeCell ref="J15:P15"/>
    <mergeCell ref="J22:P22"/>
    <mergeCell ref="B50:C50"/>
    <mergeCell ref="B48:C48"/>
    <mergeCell ref="B54:C54"/>
    <mergeCell ref="F24:P28"/>
    <mergeCell ref="B8:H8"/>
    <mergeCell ref="B22:H22"/>
    <mergeCell ref="B15:H15"/>
    <mergeCell ref="B42:C42"/>
    <mergeCell ref="B56:C56"/>
    <mergeCell ref="B60:C60"/>
    <mergeCell ref="B62:C62"/>
    <mergeCell ref="B66:C66"/>
    <mergeCell ref="B68:C68"/>
    <mergeCell ref="A32:A36"/>
    <mergeCell ref="A37:A39"/>
    <mergeCell ref="L42:Z42"/>
    <mergeCell ref="G42:K42"/>
    <mergeCell ref="D42:F42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1</xdr:col>
                    <xdr:colOff>0</xdr:colOff>
                    <xdr:row>43</xdr:row>
                    <xdr:rowOff>0</xdr:rowOff>
                  </from>
                  <to>
                    <xdr:col>2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1</xdr:col>
                    <xdr:colOff>0</xdr:colOff>
                    <xdr:row>44</xdr:row>
                    <xdr:rowOff>0</xdr:rowOff>
                  </from>
                  <to>
                    <xdr:col>2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Drop Down 9">
              <controlPr defaultSize="0" autoLine="0" autoPict="0">
                <anchor moveWithCells="1">
                  <from>
                    <xdr:col>1</xdr:col>
                    <xdr:colOff>9525</xdr:colOff>
                    <xdr:row>44</xdr:row>
                    <xdr:rowOff>190500</xdr:rowOff>
                  </from>
                  <to>
                    <xdr:col>2</xdr:col>
                    <xdr:colOff>9525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Drop Down 10">
              <controlPr defaultSize="0" autoLine="0" autoPict="0">
                <anchor moveWithCells="1">
                  <from>
                    <xdr:col>1</xdr:col>
                    <xdr:colOff>9525</xdr:colOff>
                    <xdr:row>46</xdr:row>
                    <xdr:rowOff>0</xdr:rowOff>
                  </from>
                  <to>
                    <xdr:col>2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T46"/>
  <sheetViews>
    <sheetView zoomScale="85" zoomScaleNormal="85" workbookViewId="0">
      <selection activeCell="R26" sqref="R26"/>
    </sheetView>
  </sheetViews>
  <sheetFormatPr defaultRowHeight="15" x14ac:dyDescent="0.25"/>
  <sheetData>
    <row r="1" spans="1:20" ht="28.5" x14ac:dyDescent="0.45">
      <c r="A1" s="87" t="s">
        <v>85</v>
      </c>
    </row>
    <row r="2" spans="1:20" ht="14.45" customHeight="1" x14ac:dyDescent="0.25">
      <c r="A2" s="199" t="s">
        <v>163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89"/>
      <c r="P2" s="89"/>
      <c r="Q2" s="89"/>
      <c r="R2" s="89"/>
      <c r="S2" s="89"/>
      <c r="T2" s="89"/>
    </row>
    <row r="3" spans="1:20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89"/>
      <c r="P3" s="89"/>
      <c r="Q3" s="89"/>
      <c r="R3" s="89"/>
      <c r="S3" s="89"/>
      <c r="T3" s="89"/>
    </row>
    <row r="4" spans="1:20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89"/>
      <c r="P4" s="89"/>
      <c r="Q4" s="89"/>
      <c r="R4" s="89"/>
      <c r="S4" s="89"/>
      <c r="T4" s="89"/>
    </row>
    <row r="5" spans="1:20" x14ac:dyDescent="0.25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89"/>
      <c r="P5" s="89"/>
      <c r="Q5" s="89"/>
      <c r="R5" s="89"/>
      <c r="S5" s="89"/>
      <c r="T5" s="89"/>
    </row>
    <row r="6" spans="1:20" x14ac:dyDescent="0.25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89"/>
      <c r="P6" s="89"/>
      <c r="Q6" s="89"/>
      <c r="R6" s="89"/>
      <c r="S6" s="89"/>
      <c r="T6" s="89"/>
    </row>
    <row r="7" spans="1:20" x14ac:dyDescent="0.25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89"/>
      <c r="P7" s="89"/>
      <c r="Q7" s="89"/>
      <c r="R7" s="89"/>
      <c r="S7" s="89"/>
      <c r="T7" s="89"/>
    </row>
    <row r="8" spans="1:20" x14ac:dyDescent="0.25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89"/>
      <c r="P8" s="89"/>
      <c r="Q8" s="89"/>
      <c r="R8" s="89"/>
      <c r="S8" s="89"/>
      <c r="T8" s="89"/>
    </row>
    <row r="9" spans="1:20" x14ac:dyDescent="0.25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89"/>
      <c r="P9" s="89"/>
      <c r="Q9" s="89"/>
      <c r="R9" s="89"/>
      <c r="S9" s="89"/>
      <c r="T9" s="89"/>
    </row>
    <row r="10" spans="1:20" x14ac:dyDescent="0.25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89"/>
      <c r="P10" s="89"/>
      <c r="Q10" s="89"/>
      <c r="R10" s="89"/>
      <c r="S10" s="89"/>
      <c r="T10" s="89"/>
    </row>
    <row r="11" spans="1:20" x14ac:dyDescent="0.2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89"/>
      <c r="P11" s="89"/>
      <c r="Q11" s="89"/>
      <c r="R11" s="89"/>
      <c r="S11" s="89"/>
      <c r="T11" s="89"/>
    </row>
    <row r="12" spans="1:20" x14ac:dyDescent="0.25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89"/>
      <c r="P12" s="89"/>
      <c r="Q12" s="89"/>
      <c r="R12" s="89"/>
      <c r="S12" s="89"/>
      <c r="T12" s="89"/>
    </row>
    <row r="13" spans="1:20" x14ac:dyDescent="0.25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89"/>
      <c r="P13" s="89"/>
      <c r="Q13" s="89"/>
      <c r="R13" s="89"/>
      <c r="S13" s="89"/>
      <c r="T13" s="89"/>
    </row>
    <row r="14" spans="1:20" x14ac:dyDescent="0.25">
      <c r="A14" s="199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89"/>
      <c r="P14" s="89"/>
      <c r="Q14" s="89"/>
      <c r="R14" s="89"/>
      <c r="S14" s="89"/>
      <c r="T14" s="89"/>
    </row>
    <row r="15" spans="1:20" x14ac:dyDescent="0.25">
      <c r="A15" s="199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89"/>
      <c r="P15" s="89"/>
      <c r="Q15" s="89"/>
      <c r="R15" s="89"/>
      <c r="S15" s="89"/>
      <c r="T15" s="89"/>
    </row>
    <row r="16" spans="1:20" x14ac:dyDescent="0.25">
      <c r="A16" s="199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89"/>
      <c r="P16" s="89"/>
      <c r="Q16" s="89"/>
      <c r="R16" s="89"/>
      <c r="S16" s="89"/>
      <c r="T16" s="89"/>
    </row>
    <row r="17" spans="1:20" x14ac:dyDescent="0.25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89"/>
      <c r="P17" s="89"/>
      <c r="Q17" s="89"/>
      <c r="R17" s="89"/>
      <c r="S17" s="89"/>
      <c r="T17" s="89"/>
    </row>
    <row r="18" spans="1:20" x14ac:dyDescent="0.25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89"/>
      <c r="P18" s="89"/>
      <c r="Q18" s="89"/>
      <c r="R18" s="89"/>
      <c r="S18" s="89"/>
      <c r="T18" s="89"/>
    </row>
    <row r="19" spans="1:20" x14ac:dyDescent="0.25">
      <c r="A19" s="199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89"/>
      <c r="P19" s="89"/>
      <c r="Q19" s="89"/>
      <c r="R19" s="89"/>
      <c r="S19" s="89"/>
      <c r="T19" s="89"/>
    </row>
    <row r="20" spans="1:20" x14ac:dyDescent="0.25">
      <c r="A20" s="199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89"/>
      <c r="P20" s="89"/>
      <c r="Q20" s="89"/>
      <c r="R20" s="89"/>
      <c r="S20" s="89"/>
      <c r="T20" s="89"/>
    </row>
    <row r="21" spans="1:20" x14ac:dyDescent="0.25">
      <c r="A21" s="199"/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89"/>
      <c r="P21" s="89"/>
      <c r="Q21" s="89"/>
      <c r="R21" s="89"/>
      <c r="S21" s="89"/>
      <c r="T21" s="89"/>
    </row>
    <row r="22" spans="1:20" x14ac:dyDescent="0.25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89"/>
      <c r="P22" s="89"/>
      <c r="Q22" s="89"/>
      <c r="R22" s="89"/>
      <c r="S22" s="89"/>
      <c r="T22" s="89"/>
    </row>
    <row r="23" spans="1:20" x14ac:dyDescent="0.25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89"/>
      <c r="P23" s="89"/>
      <c r="Q23" s="89"/>
      <c r="R23" s="89"/>
      <c r="S23" s="89"/>
      <c r="T23" s="89"/>
    </row>
    <row r="24" spans="1:20" x14ac:dyDescent="0.25">
      <c r="A24" s="199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89"/>
      <c r="P24" s="89"/>
      <c r="Q24" s="89"/>
      <c r="R24" s="89"/>
      <c r="S24" s="89"/>
      <c r="T24" s="89"/>
    </row>
    <row r="25" spans="1:20" x14ac:dyDescent="0.25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89"/>
      <c r="P25" s="89"/>
      <c r="Q25" s="89"/>
      <c r="R25" s="89"/>
      <c r="S25" s="89"/>
      <c r="T25" s="89"/>
    </row>
    <row r="26" spans="1:20" x14ac:dyDescent="0.2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89"/>
      <c r="P26" s="89"/>
      <c r="Q26" s="89"/>
      <c r="R26" s="89"/>
      <c r="S26" s="89"/>
      <c r="T26" s="89"/>
    </row>
    <row r="27" spans="1:20" x14ac:dyDescent="0.25">
      <c r="A27" s="199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89"/>
      <c r="P27" s="89"/>
      <c r="Q27" s="89"/>
      <c r="R27" s="89"/>
      <c r="S27" s="89"/>
      <c r="T27" s="89"/>
    </row>
    <row r="28" spans="1:20" x14ac:dyDescent="0.25">
      <c r="A28" s="199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89"/>
      <c r="P28" s="89"/>
      <c r="Q28" s="89"/>
      <c r="R28" s="89"/>
      <c r="S28" s="89"/>
      <c r="T28" s="89"/>
    </row>
    <row r="29" spans="1:20" x14ac:dyDescent="0.25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89"/>
      <c r="P29" s="89"/>
      <c r="Q29" s="89"/>
      <c r="R29" s="89"/>
      <c r="S29" s="89"/>
      <c r="T29" s="89"/>
    </row>
    <row r="30" spans="1:20" x14ac:dyDescent="0.25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89"/>
      <c r="P30" s="89"/>
      <c r="Q30" s="89"/>
      <c r="R30" s="89"/>
      <c r="S30" s="89"/>
      <c r="T30" s="89"/>
    </row>
    <row r="31" spans="1:20" x14ac:dyDescent="0.25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89"/>
      <c r="P31" s="89"/>
      <c r="Q31" s="89"/>
      <c r="R31" s="89"/>
      <c r="S31" s="89"/>
      <c r="T31" s="89"/>
    </row>
    <row r="32" spans="1:20" x14ac:dyDescent="0.25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89"/>
      <c r="P32" s="89"/>
      <c r="Q32" s="89"/>
      <c r="R32" s="89"/>
      <c r="S32" s="89"/>
      <c r="T32" s="89"/>
    </row>
    <row r="33" spans="1:20" x14ac:dyDescent="0.25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89"/>
      <c r="P33" s="89"/>
      <c r="Q33" s="89"/>
      <c r="R33" s="89"/>
      <c r="S33" s="89"/>
      <c r="T33" s="89"/>
    </row>
    <row r="34" spans="1:20" x14ac:dyDescent="0.25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89"/>
      <c r="P34" s="89"/>
      <c r="Q34" s="89"/>
      <c r="R34" s="89"/>
      <c r="S34" s="89"/>
      <c r="T34" s="89"/>
    </row>
    <row r="35" spans="1:20" x14ac:dyDescent="0.25">
      <c r="A35" s="199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89"/>
      <c r="P35" s="89"/>
      <c r="Q35" s="89"/>
      <c r="R35" s="89"/>
      <c r="S35" s="89"/>
      <c r="T35" s="89"/>
    </row>
    <row r="36" spans="1:20" x14ac:dyDescent="0.25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89"/>
      <c r="P36" s="89"/>
      <c r="Q36" s="89"/>
      <c r="R36" s="89"/>
      <c r="S36" s="89"/>
      <c r="T36" s="89"/>
    </row>
    <row r="37" spans="1:20" x14ac:dyDescent="0.25">
      <c r="A37" s="199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89"/>
      <c r="P37" s="89"/>
      <c r="Q37" s="89"/>
      <c r="R37" s="89"/>
      <c r="S37" s="89"/>
      <c r="T37" s="89"/>
    </row>
    <row r="38" spans="1:20" x14ac:dyDescent="0.25">
      <c r="A38" s="19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</row>
    <row r="39" spans="1:20" x14ac:dyDescent="0.25">
      <c r="A39" s="199"/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</row>
    <row r="40" spans="1:20" x14ac:dyDescent="0.25">
      <c r="A40" s="199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</row>
    <row r="41" spans="1:20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</row>
    <row r="42" spans="1:20" x14ac:dyDescent="0.25">
      <c r="A42" s="89"/>
      <c r="B42" s="89"/>
      <c r="C42" s="89"/>
      <c r="D42" s="89"/>
      <c r="E42" s="89"/>
      <c r="F42" s="89"/>
      <c r="G42" s="98"/>
      <c r="H42" s="89"/>
      <c r="I42" s="89"/>
      <c r="J42" s="89"/>
    </row>
    <row r="43" spans="1:2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</row>
    <row r="44" spans="1:20" x14ac:dyDescent="0.25">
      <c r="A44" s="89"/>
      <c r="B44" s="89"/>
      <c r="C44" s="89"/>
      <c r="D44" s="89"/>
      <c r="E44" s="89"/>
      <c r="F44" s="89"/>
      <c r="G44" s="89"/>
      <c r="H44" s="89"/>
      <c r="I44" s="89"/>
      <c r="J44" s="89"/>
    </row>
    <row r="45" spans="1:20" x14ac:dyDescent="0.25">
      <c r="A45" s="89"/>
      <c r="B45" s="89"/>
      <c r="C45" s="89"/>
      <c r="D45" s="89"/>
      <c r="E45" s="89"/>
      <c r="F45" s="89"/>
      <c r="G45" s="89"/>
      <c r="H45" s="89"/>
      <c r="I45" s="89"/>
      <c r="J45" s="89"/>
    </row>
    <row r="46" spans="1:20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</row>
  </sheetData>
  <sheetProtection algorithmName="SHA-512" hashValue="GGjU37ItAW+IetlpSQqNKIFNtlNHGSnMISs8jOe2jME+LIPXGtLBRlTKNrgIruHPYa/eJnKcK4rGGZelkiuYSA==" saltValue="cJxmnhACI/Xg10f6shNgEQ==" spinCount="100000" sheet="1" objects="1" scenarios="1"/>
  <mergeCells count="1">
    <mergeCell ref="A2:N4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rgb="FFFFFF00"/>
    <pageSetUpPr fitToPage="1"/>
  </sheetPr>
  <dimension ref="B1:AC90"/>
  <sheetViews>
    <sheetView showGridLines="0" showRowColHeaders="0" tabSelected="1" topLeftCell="A32" zoomScale="130" zoomScaleNormal="130" workbookViewId="0">
      <selection activeCell="S73" sqref="S73"/>
    </sheetView>
  </sheetViews>
  <sheetFormatPr defaultRowHeight="15" x14ac:dyDescent="0.25"/>
  <cols>
    <col min="1" max="1" width="2.7109375" customWidth="1"/>
    <col min="2" max="2" width="5.7109375" customWidth="1"/>
    <col min="3" max="3" width="19.7109375" customWidth="1"/>
    <col min="4" max="5" width="6.7109375" customWidth="1"/>
    <col min="6" max="6" width="6.7109375" hidden="1" customWidth="1"/>
    <col min="7" max="7" width="6.7109375" customWidth="1"/>
    <col min="8" max="9" width="6.7109375" hidden="1" customWidth="1"/>
    <col min="10" max="10" width="7.28515625" customWidth="1"/>
    <col min="11" max="11" width="6.7109375" hidden="1" customWidth="1"/>
    <col min="12" max="12" width="7.28515625" customWidth="1"/>
    <col min="13" max="19" width="6.7109375" customWidth="1"/>
    <col min="20" max="21" width="6.7109375" hidden="1" customWidth="1"/>
    <col min="22" max="26" width="6.7109375" customWidth="1"/>
    <col min="27" max="27" width="6.7109375" hidden="1" customWidth="1"/>
    <col min="28" max="28" width="6.7109375" customWidth="1"/>
    <col min="29" max="29" width="9.7109375" customWidth="1"/>
  </cols>
  <sheetData>
    <row r="1" spans="2:18" hidden="1" x14ac:dyDescent="0.25">
      <c r="R1" s="28"/>
    </row>
    <row r="2" spans="2:18" hidden="1" x14ac:dyDescent="0.25">
      <c r="C2" s="8" t="s">
        <v>18</v>
      </c>
      <c r="D2" s="8"/>
      <c r="E2" s="13">
        <v>1.79E-6</v>
      </c>
      <c r="F2" s="8" t="s">
        <v>19</v>
      </c>
      <c r="R2" s="28"/>
    </row>
    <row r="3" spans="2:18" hidden="1" x14ac:dyDescent="0.25">
      <c r="C3" s="8" t="s">
        <v>20</v>
      </c>
      <c r="D3" s="8"/>
      <c r="E3" s="13">
        <v>6.0000000000000002E-6</v>
      </c>
      <c r="F3" s="8" t="s">
        <v>19</v>
      </c>
      <c r="R3" s="28"/>
    </row>
    <row r="4" spans="2:18" hidden="1" x14ac:dyDescent="0.25">
      <c r="C4" s="8" t="s">
        <v>21</v>
      </c>
      <c r="D4" s="8"/>
      <c r="E4" s="14">
        <f>E3/E2</f>
        <v>3.3519553072625698</v>
      </c>
      <c r="F4" s="8"/>
      <c r="R4" s="28"/>
    </row>
    <row r="5" spans="2:18" hidden="1" x14ac:dyDescent="0.25">
      <c r="C5" s="9" t="s">
        <v>29</v>
      </c>
      <c r="D5" s="9"/>
      <c r="E5" s="12">
        <v>1000.3</v>
      </c>
      <c r="F5" s="9" t="s">
        <v>30</v>
      </c>
      <c r="R5" s="28"/>
    </row>
    <row r="6" spans="2:18" hidden="1" x14ac:dyDescent="0.25">
      <c r="C6" s="9" t="s">
        <v>31</v>
      </c>
      <c r="D6" s="9"/>
      <c r="E6" s="12">
        <v>972</v>
      </c>
      <c r="F6" s="9" t="s">
        <v>30</v>
      </c>
      <c r="R6" s="28"/>
    </row>
    <row r="7" spans="2:18" hidden="1" x14ac:dyDescent="0.25">
      <c r="R7" s="28"/>
    </row>
    <row r="8" spans="2:18" ht="75" hidden="1" x14ac:dyDescent="0.25">
      <c r="C8" s="27" t="s">
        <v>72</v>
      </c>
      <c r="D8" s="28"/>
      <c r="E8" s="29" t="s">
        <v>23</v>
      </c>
      <c r="F8" s="29" t="s">
        <v>24</v>
      </c>
      <c r="R8" s="28"/>
    </row>
    <row r="9" spans="2:18" ht="26.25" hidden="1" x14ac:dyDescent="0.3">
      <c r="B9" s="96" t="s">
        <v>12</v>
      </c>
      <c r="C9" s="101" t="s">
        <v>120</v>
      </c>
      <c r="D9" s="109">
        <v>1</v>
      </c>
      <c r="E9" s="110">
        <v>2.6200000000000001E-2</v>
      </c>
      <c r="F9" s="11">
        <f t="shared" ref="F9:F22" si="0">3.14*E9*E9/4</f>
        <v>5.3885540000000011E-4</v>
      </c>
      <c r="R9" s="28"/>
    </row>
    <row r="10" spans="2:18" ht="26.25" hidden="1" x14ac:dyDescent="0.3">
      <c r="B10" s="96"/>
      <c r="C10" s="101" t="s">
        <v>119</v>
      </c>
      <c r="D10" s="109">
        <v>2</v>
      </c>
      <c r="E10" s="110">
        <v>3.2599999999999997E-2</v>
      </c>
      <c r="F10" s="11">
        <f t="shared" si="0"/>
        <v>8.3426659999999995E-4</v>
      </c>
      <c r="R10" s="28"/>
    </row>
    <row r="11" spans="2:18" ht="26.25" hidden="1" x14ac:dyDescent="0.3">
      <c r="B11" s="96"/>
      <c r="C11" s="101" t="s">
        <v>121</v>
      </c>
      <c r="D11" s="109">
        <v>3</v>
      </c>
      <c r="E11" s="110">
        <v>4.0800000000000003E-2</v>
      </c>
      <c r="F11" s="11">
        <f t="shared" si="0"/>
        <v>1.3067424000000002E-3</v>
      </c>
      <c r="R11" s="28"/>
    </row>
    <row r="12" spans="2:18" ht="26.25" hidden="1" x14ac:dyDescent="0.3">
      <c r="B12" s="96"/>
      <c r="C12" s="101" t="s">
        <v>122</v>
      </c>
      <c r="D12" s="109">
        <v>4</v>
      </c>
      <c r="E12" s="110">
        <v>5.1400000000000001E-2</v>
      </c>
      <c r="F12" s="11">
        <f t="shared" si="0"/>
        <v>2.0739386000000002E-3</v>
      </c>
      <c r="R12" s="28"/>
    </row>
    <row r="13" spans="2:18" ht="26.25" hidden="1" x14ac:dyDescent="0.3">
      <c r="B13" s="96"/>
      <c r="C13" s="101" t="s">
        <v>123</v>
      </c>
      <c r="D13" s="109">
        <v>5</v>
      </c>
      <c r="E13" s="110">
        <v>6.6000000000000003E-2</v>
      </c>
      <c r="F13" s="11">
        <f t="shared" si="0"/>
        <v>3.4194600000000005E-3</v>
      </c>
      <c r="R13" s="28"/>
    </row>
    <row r="14" spans="2:18" ht="26.25" hidden="1" x14ac:dyDescent="0.3">
      <c r="B14" s="96"/>
      <c r="C14" s="101" t="s">
        <v>124</v>
      </c>
      <c r="D14" s="109">
        <v>6</v>
      </c>
      <c r="E14" s="110">
        <v>7.9200000000000007E-2</v>
      </c>
      <c r="F14" s="11">
        <f t="shared" si="0"/>
        <v>4.9240224000000011E-3</v>
      </c>
      <c r="R14" s="28"/>
    </row>
    <row r="15" spans="2:18" ht="26.25" hidden="1" x14ac:dyDescent="0.3">
      <c r="B15" s="96"/>
      <c r="C15" s="101" t="s">
        <v>125</v>
      </c>
      <c r="D15" s="109">
        <v>7</v>
      </c>
      <c r="E15" s="110">
        <v>9.6799999999999997E-2</v>
      </c>
      <c r="F15" s="11">
        <f t="shared" si="0"/>
        <v>7.3556383999999995E-3</v>
      </c>
      <c r="R15" s="28"/>
    </row>
    <row r="16" spans="2:18" ht="26.25" hidden="1" x14ac:dyDescent="0.3">
      <c r="B16" s="96"/>
      <c r="C16" s="101" t="s">
        <v>126</v>
      </c>
      <c r="D16" s="109">
        <v>8</v>
      </c>
      <c r="E16" s="110">
        <v>0.11020000000000001</v>
      </c>
      <c r="F16" s="11">
        <f t="shared" si="0"/>
        <v>9.5330714000000025E-3</v>
      </c>
      <c r="R16" s="28"/>
    </row>
    <row r="17" spans="2:29" ht="26.25" hidden="1" x14ac:dyDescent="0.3">
      <c r="B17" s="96" t="s">
        <v>10</v>
      </c>
      <c r="C17" s="102" t="s">
        <v>46</v>
      </c>
      <c r="D17" s="109">
        <v>9</v>
      </c>
      <c r="E17" s="111">
        <v>2.5000000000000001E-2</v>
      </c>
      <c r="F17" s="10">
        <f t="shared" si="0"/>
        <v>4.9062500000000007E-4</v>
      </c>
      <c r="R17" s="28"/>
    </row>
    <row r="18" spans="2:29" ht="26.25" hidden="1" x14ac:dyDescent="0.3">
      <c r="B18" s="96"/>
      <c r="C18" s="102" t="s">
        <v>47</v>
      </c>
      <c r="D18" s="109">
        <v>10</v>
      </c>
      <c r="E18" s="111">
        <v>3.2000000000000001E-2</v>
      </c>
      <c r="F18" s="10">
        <f t="shared" si="0"/>
        <v>8.0384E-4</v>
      </c>
      <c r="R18" s="28"/>
    </row>
    <row r="19" spans="2:29" ht="26.25" hidden="1" x14ac:dyDescent="0.3">
      <c r="B19" s="96"/>
      <c r="C19" s="102" t="s">
        <v>48</v>
      </c>
      <c r="D19" s="109">
        <v>11</v>
      </c>
      <c r="E19" s="111">
        <v>3.9E-2</v>
      </c>
      <c r="F19" s="10">
        <f t="shared" si="0"/>
        <v>1.1939850000000001E-3</v>
      </c>
      <c r="R19" s="28"/>
    </row>
    <row r="20" spans="2:29" ht="15" hidden="1" customHeight="1" x14ac:dyDescent="0.3">
      <c r="C20" s="102" t="s">
        <v>113</v>
      </c>
      <c r="D20" s="109">
        <v>12</v>
      </c>
      <c r="E20" s="111">
        <v>0.05</v>
      </c>
      <c r="F20" s="10">
        <f t="shared" si="0"/>
        <v>1.9625000000000003E-3</v>
      </c>
      <c r="G20" s="28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28"/>
    </row>
    <row r="21" spans="2:29" ht="26.25" hidden="1" x14ac:dyDescent="0.3">
      <c r="C21" s="102" t="s">
        <v>114</v>
      </c>
      <c r="D21" s="109">
        <v>13</v>
      </c>
      <c r="E21" s="111">
        <v>5.2999999999999999E-2</v>
      </c>
      <c r="F21" s="10">
        <f t="shared" si="0"/>
        <v>2.205065E-3</v>
      </c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28"/>
    </row>
    <row r="22" spans="2:29" ht="26.25" hidden="1" x14ac:dyDescent="0.3">
      <c r="C22" s="102" t="s">
        <v>115</v>
      </c>
      <c r="D22" s="109">
        <v>14</v>
      </c>
      <c r="E22" s="111">
        <v>0.06</v>
      </c>
      <c r="F22" s="10">
        <f t="shared" si="0"/>
        <v>2.826E-3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28"/>
    </row>
    <row r="23" spans="2:29" ht="26.25" hidden="1" x14ac:dyDescent="0.3">
      <c r="C23" s="102" t="s">
        <v>116</v>
      </c>
      <c r="D23" s="109">
        <v>15</v>
      </c>
      <c r="E23" s="111">
        <v>7.1999999999999995E-2</v>
      </c>
      <c r="F23" s="10">
        <f>3.14*E17*E17/4</f>
        <v>4.9062500000000007E-4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28"/>
    </row>
    <row r="24" spans="2:29" ht="26.25" hidden="1" x14ac:dyDescent="0.3">
      <c r="C24" s="102" t="s">
        <v>117</v>
      </c>
      <c r="D24" s="109">
        <v>16</v>
      </c>
      <c r="E24" s="111">
        <v>8.3900000000000002E-2</v>
      </c>
      <c r="F24" s="10">
        <f>3.14*E18*E18/4</f>
        <v>8.0384E-4</v>
      </c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28"/>
    </row>
    <row r="25" spans="2:29" ht="26.25" hidden="1" x14ac:dyDescent="0.3">
      <c r="C25" s="102" t="s">
        <v>118</v>
      </c>
      <c r="D25" s="109">
        <v>17</v>
      </c>
      <c r="E25" s="111">
        <v>0.10299999999999999</v>
      </c>
      <c r="F25" s="10">
        <f>3.14*E19*E19/4</f>
        <v>1.1939850000000001E-3</v>
      </c>
      <c r="M25" s="16"/>
      <c r="R25" s="28"/>
    </row>
    <row r="26" spans="2:29" hidden="1" x14ac:dyDescent="0.25">
      <c r="F26" s="85"/>
      <c r="G26" s="28"/>
      <c r="H26" s="85"/>
      <c r="I26" s="85"/>
      <c r="J26" s="28"/>
      <c r="K26" s="85"/>
      <c r="L26" s="85"/>
      <c r="M26" s="85"/>
      <c r="N26" s="85"/>
      <c r="O26" s="28"/>
      <c r="P26" s="85"/>
      <c r="Q26" s="85"/>
      <c r="R26" s="28"/>
    </row>
    <row r="27" spans="2:29" hidden="1" x14ac:dyDescent="0.25"/>
    <row r="28" spans="2:29" hidden="1" x14ac:dyDescent="0.25">
      <c r="C28" s="99"/>
      <c r="D28" s="99"/>
      <c r="E28" s="99"/>
      <c r="F28" s="99"/>
      <c r="G28" s="99"/>
      <c r="H28" s="99"/>
      <c r="I28" s="99"/>
      <c r="J28" s="99"/>
      <c r="K28" s="99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7"/>
      <c r="Z28" s="17"/>
      <c r="AA28" s="17"/>
      <c r="AB28" s="17"/>
      <c r="AC28" s="17"/>
    </row>
    <row r="29" spans="2:29" ht="21" x14ac:dyDescent="0.25">
      <c r="B29" s="184" t="s">
        <v>97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2:29" ht="15.75" thickBot="1" x14ac:dyDescent="0.3"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2:29" ht="18" customHeight="1" thickTop="1" x14ac:dyDescent="0.25">
      <c r="C31" s="208" t="s">
        <v>149</v>
      </c>
      <c r="D31" s="209"/>
      <c r="E31" s="112">
        <v>4992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2:29" ht="18" customHeight="1" x14ac:dyDescent="0.25">
      <c r="C32" s="210" t="s">
        <v>150</v>
      </c>
      <c r="D32" s="211"/>
      <c r="E32" s="113">
        <v>3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2:29" ht="18" hidden="1" customHeight="1" x14ac:dyDescent="0.25">
      <c r="B33" s="205" t="s">
        <v>81</v>
      </c>
      <c r="C33" s="206"/>
      <c r="D33" s="207"/>
      <c r="E33" s="114">
        <v>4282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2:29" ht="18" customHeight="1" x14ac:dyDescent="0.25">
      <c r="C34" s="210" t="s">
        <v>151</v>
      </c>
      <c r="D34" s="211"/>
      <c r="E34" s="115">
        <f>E31/E32/E33</f>
        <v>0.38860345632881832</v>
      </c>
    </row>
    <row r="35" spans="2:29" ht="18" customHeight="1" thickBot="1" x14ac:dyDescent="0.3">
      <c r="C35" s="210" t="s">
        <v>152</v>
      </c>
      <c r="D35" s="211"/>
      <c r="E35" s="116">
        <v>2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2:29" ht="18" customHeight="1" thickTop="1" thickBot="1" x14ac:dyDescent="0.3">
      <c r="C36" s="212" t="s">
        <v>153</v>
      </c>
      <c r="D36" s="213"/>
      <c r="E36" s="117">
        <f>E34/E35</f>
        <v>0.19430172816440916</v>
      </c>
      <c r="F36" s="118"/>
      <c r="G36" s="118"/>
      <c r="H36" s="118"/>
      <c r="I36" s="118"/>
      <c r="J36" s="118"/>
      <c r="K36" s="118"/>
      <c r="L36" s="118"/>
      <c r="M36" s="200" t="s">
        <v>64</v>
      </c>
      <c r="N36" s="201"/>
      <c r="O36" s="201"/>
      <c r="P36" s="201"/>
      <c r="Q36" s="201"/>
      <c r="R36" s="201"/>
      <c r="S36" s="201"/>
      <c r="T36" s="201"/>
      <c r="U36" s="231"/>
      <c r="V36" s="231"/>
      <c r="W36" s="231"/>
      <c r="X36" s="231"/>
      <c r="Y36" s="231"/>
      <c r="Z36" s="231"/>
      <c r="AA36" s="231"/>
      <c r="AB36" s="232"/>
      <c r="AC36" s="228" t="s">
        <v>157</v>
      </c>
    </row>
    <row r="37" spans="2:29" ht="24" customHeight="1" thickTop="1" thickBot="1" x14ac:dyDescent="0.3"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242" t="s">
        <v>154</v>
      </c>
      <c r="N37" s="243"/>
      <c r="O37" s="243"/>
      <c r="P37" s="243"/>
      <c r="Q37" s="243"/>
      <c r="R37" s="243"/>
      <c r="S37" s="244"/>
      <c r="T37" s="233" t="s">
        <v>136</v>
      </c>
      <c r="U37" s="236" t="s">
        <v>130</v>
      </c>
      <c r="V37" s="214" t="s">
        <v>139</v>
      </c>
      <c r="W37" s="214" t="s">
        <v>141</v>
      </c>
      <c r="X37" s="214" t="s">
        <v>140</v>
      </c>
      <c r="Y37" s="214" t="s">
        <v>135</v>
      </c>
      <c r="Z37" s="239" t="s">
        <v>134</v>
      </c>
      <c r="AA37" s="239" t="s">
        <v>111</v>
      </c>
      <c r="AB37" s="219" t="s">
        <v>142</v>
      </c>
      <c r="AC37" s="229"/>
    </row>
    <row r="38" spans="2:29" ht="18" customHeight="1" thickTop="1" thickBot="1" x14ac:dyDescent="0.3">
      <c r="B38" s="119"/>
      <c r="C38" s="254" t="s">
        <v>70</v>
      </c>
      <c r="D38" s="254"/>
      <c r="E38" s="200" t="s">
        <v>28</v>
      </c>
      <c r="F38" s="201"/>
      <c r="G38" s="202"/>
      <c r="H38" s="203" t="s">
        <v>68</v>
      </c>
      <c r="I38" s="204"/>
      <c r="J38" s="204"/>
      <c r="K38" s="204"/>
      <c r="L38" s="204"/>
      <c r="M38" s="245"/>
      <c r="N38" s="246"/>
      <c r="O38" s="246"/>
      <c r="P38" s="246"/>
      <c r="Q38" s="246"/>
      <c r="R38" s="246"/>
      <c r="S38" s="247"/>
      <c r="T38" s="234"/>
      <c r="U38" s="237"/>
      <c r="V38" s="215"/>
      <c r="W38" s="215"/>
      <c r="X38" s="215"/>
      <c r="Y38" s="215"/>
      <c r="Z38" s="240"/>
      <c r="AA38" s="240"/>
      <c r="AB38" s="220"/>
      <c r="AC38" s="229"/>
    </row>
    <row r="39" spans="2:29" ht="58.5" customHeight="1" thickTop="1" thickBot="1" x14ac:dyDescent="0.3">
      <c r="B39" s="120" t="s">
        <v>71</v>
      </c>
      <c r="C39" s="121" t="s">
        <v>131</v>
      </c>
      <c r="D39" s="123" t="s">
        <v>146</v>
      </c>
      <c r="E39" s="181" t="s">
        <v>147</v>
      </c>
      <c r="F39" s="122" t="s">
        <v>33</v>
      </c>
      <c r="G39" s="123" t="s">
        <v>148</v>
      </c>
      <c r="H39" s="124" t="s">
        <v>35</v>
      </c>
      <c r="I39" s="125" t="s">
        <v>133</v>
      </c>
      <c r="J39" s="180" t="s">
        <v>144</v>
      </c>
      <c r="K39" s="180" t="s">
        <v>145</v>
      </c>
      <c r="L39" s="179" t="s">
        <v>143</v>
      </c>
      <c r="M39" s="126" t="s">
        <v>129</v>
      </c>
      <c r="N39" s="127" t="s">
        <v>158</v>
      </c>
      <c r="O39" s="127" t="s">
        <v>132</v>
      </c>
      <c r="P39" s="127" t="s">
        <v>138</v>
      </c>
      <c r="Q39" s="127" t="s">
        <v>90</v>
      </c>
      <c r="R39" s="127" t="s">
        <v>137</v>
      </c>
      <c r="S39" s="127" t="s">
        <v>94</v>
      </c>
      <c r="T39" s="235"/>
      <c r="U39" s="238"/>
      <c r="V39" s="216"/>
      <c r="W39" s="216"/>
      <c r="X39" s="216"/>
      <c r="Y39" s="216"/>
      <c r="Z39" s="241"/>
      <c r="AA39" s="241"/>
      <c r="AB39" s="221"/>
      <c r="AC39" s="230"/>
    </row>
    <row r="40" spans="2:29" ht="21" customHeight="1" thickTop="1" x14ac:dyDescent="0.25">
      <c r="B40" s="128">
        <v>1</v>
      </c>
      <c r="C40" s="129"/>
      <c r="D40" s="130">
        <v>5</v>
      </c>
      <c r="E40" s="131">
        <v>0.39</v>
      </c>
      <c r="F40" s="132">
        <f>E40/$E$5</f>
        <v>3.898830350894732E-4</v>
      </c>
      <c r="G40" s="133">
        <f>F40/$D$51</f>
        <v>0.79466605878109176</v>
      </c>
      <c r="H40" s="134">
        <f>G40*C51/$E$2</f>
        <v>11098.687971802958</v>
      </c>
      <c r="I40" s="135">
        <f>0.316/SQRT(SQRT(H40))</f>
        <v>3.0787127635023281E-2</v>
      </c>
      <c r="J40" s="136">
        <f>I40*$E$5*G40*G40/(2*$C$51)</f>
        <v>388.95446818961972</v>
      </c>
      <c r="K40" s="137">
        <f>J40*D40</f>
        <v>1944.7723409480986</v>
      </c>
      <c r="L40" s="138">
        <f>1.33*K40</f>
        <v>2586.5472134609713</v>
      </c>
      <c r="M40" s="139">
        <v>6</v>
      </c>
      <c r="N40" s="140">
        <v>2</v>
      </c>
      <c r="O40" s="140">
        <v>2</v>
      </c>
      <c r="P40" s="140"/>
      <c r="Q40" s="140"/>
      <c r="R40" s="140">
        <v>0</v>
      </c>
      <c r="S40" s="140">
        <v>2</v>
      </c>
      <c r="T40" s="141">
        <f>1.3*M40+1*N40+1*O40+3.2*P40+3*Q40+2*R40+1*S40</f>
        <v>13.8</v>
      </c>
      <c r="U40" s="137">
        <f>T40*$E$5*G40*G40/2</f>
        <v>4358.6167932329527</v>
      </c>
      <c r="V40" s="140">
        <v>1000</v>
      </c>
      <c r="W40" s="140"/>
      <c r="X40" s="140"/>
      <c r="Y40" s="140"/>
      <c r="Z40" s="142"/>
      <c r="AA40" s="143">
        <f>U40+V40+W40+X40</f>
        <v>5358.6167932329527</v>
      </c>
      <c r="AB40" s="138">
        <f>1.33*AA40+Y40+Z40</f>
        <v>7126.9603349998279</v>
      </c>
      <c r="AC40" s="144">
        <f>(L40+AB40)/1000</f>
        <v>9.7135075484607984</v>
      </c>
    </row>
    <row r="41" spans="2:29" ht="21" customHeight="1" x14ac:dyDescent="0.25">
      <c r="B41" s="145">
        <v>2</v>
      </c>
      <c r="C41" s="146"/>
      <c r="D41" s="147">
        <v>5</v>
      </c>
      <c r="E41" s="148">
        <v>0.39</v>
      </c>
      <c r="F41" s="149">
        <f>E41/$E$5</f>
        <v>3.898830350894732E-4</v>
      </c>
      <c r="G41" s="150">
        <f>F41/$D$57</f>
        <v>0.46733626287984348</v>
      </c>
      <c r="H41" s="151">
        <f>G41*$C$57/$E$2</f>
        <v>8511.2637820574837</v>
      </c>
      <c r="I41" s="152">
        <f>0.316/SQRT(SQRT(H41))</f>
        <v>3.2899444876330244E-2</v>
      </c>
      <c r="J41" s="153">
        <f>I41*$E$5*G41*G41/(2*$C$57)</f>
        <v>110.23771579579804</v>
      </c>
      <c r="K41" s="154">
        <f>J41*D41</f>
        <v>551.18857897899022</v>
      </c>
      <c r="L41" s="155">
        <f>1.33*K41</f>
        <v>733.08081004205701</v>
      </c>
      <c r="M41" s="156"/>
      <c r="N41" s="157"/>
      <c r="O41" s="157"/>
      <c r="P41" s="157"/>
      <c r="Q41" s="157"/>
      <c r="R41" s="157"/>
      <c r="S41" s="157"/>
      <c r="T41" s="158">
        <f t="shared" ref="T41:T43" si="1">1.3*M41+1*N41+1*O41+3.2*P41+3*Q41+2*R41+1*S41</f>
        <v>0</v>
      </c>
      <c r="U41" s="154">
        <f>T41*$E$5*G41*G41/2</f>
        <v>0</v>
      </c>
      <c r="V41" s="157"/>
      <c r="W41" s="157"/>
      <c r="X41" s="157"/>
      <c r="Y41" s="157"/>
      <c r="Z41" s="159"/>
      <c r="AA41" s="160">
        <f>U41+V41+W41+X41</f>
        <v>0</v>
      </c>
      <c r="AB41" s="155">
        <f t="shared" ref="AB41:AB43" si="2">1.33*AA41+Y41+Z41</f>
        <v>0</v>
      </c>
      <c r="AC41" s="161">
        <f>(L41+AB41)/1000</f>
        <v>0.73308081004205705</v>
      </c>
    </row>
    <row r="42" spans="2:29" ht="21" customHeight="1" x14ac:dyDescent="0.25">
      <c r="B42" s="145">
        <v>3</v>
      </c>
      <c r="C42" s="146"/>
      <c r="D42" s="147">
        <v>260</v>
      </c>
      <c r="E42" s="148">
        <v>0.39</v>
      </c>
      <c r="F42" s="149">
        <f>E42/$E$5</f>
        <v>3.898830350894732E-4</v>
      </c>
      <c r="G42" s="150">
        <f>F42/$D$63</f>
        <v>0.46733626287984348</v>
      </c>
      <c r="H42" s="151">
        <f>G42*$C$63/$E$2</f>
        <v>8511.2637820574837</v>
      </c>
      <c r="I42" s="152">
        <f>0.316/SQRT(SQRT(H42))</f>
        <v>3.2899444876330244E-2</v>
      </c>
      <c r="J42" s="153">
        <f>I42*$E$5*G42*G42/(2*$C$63)</f>
        <v>110.23771579579804</v>
      </c>
      <c r="K42" s="154">
        <f>J42*D42</f>
        <v>28661.80610690749</v>
      </c>
      <c r="L42" s="155">
        <f>1.33*K42</f>
        <v>38120.202122186965</v>
      </c>
      <c r="M42" s="156"/>
      <c r="N42" s="157"/>
      <c r="O42" s="157"/>
      <c r="P42" s="157"/>
      <c r="Q42" s="157"/>
      <c r="R42" s="157"/>
      <c r="S42" s="157"/>
      <c r="T42" s="158">
        <f t="shared" si="1"/>
        <v>0</v>
      </c>
      <c r="U42" s="154">
        <f>T42*$E$5*G42*G42/2</f>
        <v>0</v>
      </c>
      <c r="V42" s="157"/>
      <c r="W42" s="157"/>
      <c r="X42" s="157"/>
      <c r="Y42" s="157"/>
      <c r="Z42" s="159"/>
      <c r="AA42" s="160">
        <f>U42+V42+W42+X42</f>
        <v>0</v>
      </c>
      <c r="AB42" s="155">
        <f t="shared" si="2"/>
        <v>0</v>
      </c>
      <c r="AC42" s="161">
        <f>(L42+AB42)/1000</f>
        <v>38.120202122186967</v>
      </c>
    </row>
    <row r="43" spans="2:29" ht="21" customHeight="1" thickBot="1" x14ac:dyDescent="0.3">
      <c r="B43" s="162">
        <v>4</v>
      </c>
      <c r="C43" s="163"/>
      <c r="D43" s="164">
        <v>0</v>
      </c>
      <c r="E43" s="165">
        <v>1.0000000000000001E-5</v>
      </c>
      <c r="F43" s="166">
        <f>E43/$E$5</f>
        <v>9.9970008997300814E-9</v>
      </c>
      <c r="G43" s="167">
        <f>F43/$D$69</f>
        <v>1.1982981099483166E-5</v>
      </c>
      <c r="H43" s="168">
        <f>G43*$C$69/$E$2</f>
        <v>0.2182375328732688</v>
      </c>
      <c r="I43" s="169">
        <f>0.316/SQRT(SQRT(H43))</f>
        <v>0.46233281746223925</v>
      </c>
      <c r="J43" s="170">
        <f>I43*$E$5*G43*G43/(2*$C$69)</f>
        <v>1.0185143294789055E-6</v>
      </c>
      <c r="K43" s="171">
        <f>J43*D43</f>
        <v>0</v>
      </c>
      <c r="L43" s="172">
        <f>1.33*K43</f>
        <v>0</v>
      </c>
      <c r="M43" s="173"/>
      <c r="N43" s="174"/>
      <c r="O43" s="174"/>
      <c r="P43" s="174"/>
      <c r="Q43" s="174"/>
      <c r="R43" s="174"/>
      <c r="S43" s="174"/>
      <c r="T43" s="175">
        <f t="shared" si="1"/>
        <v>0</v>
      </c>
      <c r="U43" s="171">
        <f>T43*$E$5*G43*G43/2</f>
        <v>0</v>
      </c>
      <c r="V43" s="174"/>
      <c r="W43" s="174"/>
      <c r="X43" s="174"/>
      <c r="Y43" s="174"/>
      <c r="Z43" s="176"/>
      <c r="AA43" s="177">
        <f>U43+V43+W43+X43</f>
        <v>0</v>
      </c>
      <c r="AB43" s="172">
        <f t="shared" si="2"/>
        <v>0</v>
      </c>
      <c r="AC43" s="178">
        <f>(L43+AB43)/1000</f>
        <v>0</v>
      </c>
    </row>
    <row r="44" spans="2:29" ht="15" customHeight="1" thickTop="1" x14ac:dyDescent="0.25">
      <c r="B44" s="248" t="s">
        <v>159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50"/>
      <c r="V44" s="222" t="s">
        <v>96</v>
      </c>
      <c r="W44" s="223"/>
      <c r="X44" s="223"/>
      <c r="Y44" s="223"/>
      <c r="Z44" s="223"/>
      <c r="AA44" s="223"/>
      <c r="AB44" s="224"/>
      <c r="AC44" s="217">
        <f>SUM(AC40:AC43)</f>
        <v>48.566790480689825</v>
      </c>
    </row>
    <row r="45" spans="2:29" ht="21" customHeight="1" thickBot="1" x14ac:dyDescent="0.3">
      <c r="B45" s="251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3"/>
      <c r="V45" s="225"/>
      <c r="W45" s="226"/>
      <c r="X45" s="226"/>
      <c r="Y45" s="226"/>
      <c r="Z45" s="226"/>
      <c r="AA45" s="226"/>
      <c r="AB45" s="227"/>
      <c r="AC45" s="218"/>
    </row>
    <row r="46" spans="2:29" ht="15.75" thickTop="1" x14ac:dyDescent="0.25"/>
    <row r="47" spans="2:29" ht="21" hidden="1" x14ac:dyDescent="0.35">
      <c r="C47" s="105" t="s">
        <v>52</v>
      </c>
      <c r="D47" s="106"/>
    </row>
    <row r="48" spans="2:29" ht="21" hidden="1" x14ac:dyDescent="0.35">
      <c r="C48" s="107">
        <v>9</v>
      </c>
      <c r="D48" s="107"/>
    </row>
    <row r="49" spans="3:4" ht="21" hidden="1" x14ac:dyDescent="0.35">
      <c r="C49" s="108" t="s">
        <v>50</v>
      </c>
      <c r="D49" s="108"/>
    </row>
    <row r="50" spans="3:4" ht="21" hidden="1" x14ac:dyDescent="0.35">
      <c r="C50" s="108" t="s">
        <v>49</v>
      </c>
      <c r="D50" s="108" t="s">
        <v>51</v>
      </c>
    </row>
    <row r="51" spans="3:4" ht="21" hidden="1" x14ac:dyDescent="0.35">
      <c r="C51" s="108">
        <f>LOOKUP(C48,D9:D25,E9:E25)</f>
        <v>2.5000000000000001E-2</v>
      </c>
      <c r="D51" s="108">
        <f>3.14*C51*C51/4</f>
        <v>4.9062500000000007E-4</v>
      </c>
    </row>
    <row r="52" spans="3:4" ht="21" hidden="1" x14ac:dyDescent="0.35">
      <c r="C52" s="107"/>
      <c r="D52" s="107"/>
    </row>
    <row r="53" spans="3:4" ht="21" hidden="1" x14ac:dyDescent="0.35">
      <c r="C53" s="105" t="s">
        <v>53</v>
      </c>
      <c r="D53" s="108"/>
    </row>
    <row r="54" spans="3:4" ht="21" hidden="1" x14ac:dyDescent="0.35">
      <c r="C54" s="107">
        <v>2</v>
      </c>
      <c r="D54" s="107"/>
    </row>
    <row r="55" spans="3:4" ht="21" hidden="1" x14ac:dyDescent="0.35">
      <c r="C55" s="108" t="s">
        <v>50</v>
      </c>
      <c r="D55" s="108"/>
    </row>
    <row r="56" spans="3:4" ht="21" hidden="1" x14ac:dyDescent="0.35">
      <c r="C56" s="108" t="s">
        <v>49</v>
      </c>
      <c r="D56" s="108" t="s">
        <v>51</v>
      </c>
    </row>
    <row r="57" spans="3:4" ht="21" hidden="1" x14ac:dyDescent="0.35">
      <c r="C57" s="108">
        <f>LOOKUP(C54,D9:D25,E9:E25)</f>
        <v>3.2599999999999997E-2</v>
      </c>
      <c r="D57" s="108">
        <f>3.14*C57*C57/4</f>
        <v>8.3426659999999995E-4</v>
      </c>
    </row>
    <row r="58" spans="3:4" ht="21" hidden="1" x14ac:dyDescent="0.35">
      <c r="C58" s="107"/>
      <c r="D58" s="107"/>
    </row>
    <row r="59" spans="3:4" ht="21" hidden="1" x14ac:dyDescent="0.35">
      <c r="C59" s="105" t="s">
        <v>54</v>
      </c>
      <c r="D59" s="108"/>
    </row>
    <row r="60" spans="3:4" ht="21" hidden="1" x14ac:dyDescent="0.35">
      <c r="C60" s="107">
        <v>2</v>
      </c>
      <c r="D60" s="107"/>
    </row>
    <row r="61" spans="3:4" ht="21" hidden="1" x14ac:dyDescent="0.35">
      <c r="C61" s="108" t="s">
        <v>50</v>
      </c>
      <c r="D61" s="108"/>
    </row>
    <row r="62" spans="3:4" ht="21" hidden="1" x14ac:dyDescent="0.35">
      <c r="C62" s="108" t="s">
        <v>49</v>
      </c>
      <c r="D62" s="108" t="s">
        <v>51</v>
      </c>
    </row>
    <row r="63" spans="3:4" ht="21" hidden="1" x14ac:dyDescent="0.35">
      <c r="C63" s="108">
        <f>LOOKUP(C60,D9:D25,E9:E25)</f>
        <v>3.2599999999999997E-2</v>
      </c>
      <c r="D63" s="108">
        <f>3.14*C63*C63/4</f>
        <v>8.3426659999999995E-4</v>
      </c>
    </row>
    <row r="64" spans="3:4" ht="21" hidden="1" x14ac:dyDescent="0.35">
      <c r="C64" s="107"/>
      <c r="D64" s="107"/>
    </row>
    <row r="65" spans="2:29" ht="21" hidden="1" x14ac:dyDescent="0.35">
      <c r="C65" s="105" t="s">
        <v>55</v>
      </c>
      <c r="D65" s="108"/>
    </row>
    <row r="66" spans="2:29" ht="21" hidden="1" x14ac:dyDescent="0.35">
      <c r="C66" s="107">
        <v>2</v>
      </c>
      <c r="D66" s="107"/>
    </row>
    <row r="67" spans="2:29" ht="21" hidden="1" x14ac:dyDescent="0.35">
      <c r="C67" s="108" t="s">
        <v>50</v>
      </c>
      <c r="D67" s="108"/>
    </row>
    <row r="68" spans="2:29" ht="21" hidden="1" x14ac:dyDescent="0.35">
      <c r="C68" s="108" t="s">
        <v>49</v>
      </c>
      <c r="D68" s="108" t="s">
        <v>51</v>
      </c>
    </row>
    <row r="69" spans="2:29" ht="21" hidden="1" x14ac:dyDescent="0.35">
      <c r="C69" s="108">
        <f>LOOKUP(C66,D9:D25,E9:E25)</f>
        <v>3.2599999999999997E-2</v>
      </c>
      <c r="D69" s="108">
        <f>3.14*C69*C69/4</f>
        <v>8.3426659999999995E-4</v>
      </c>
    </row>
    <row r="70" spans="2:29" x14ac:dyDescent="0.25">
      <c r="B70" s="263" t="s">
        <v>160</v>
      </c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</row>
    <row r="71" spans="2:29" x14ac:dyDescent="0.25"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</row>
    <row r="72" spans="2:29" x14ac:dyDescent="0.25">
      <c r="B72" s="261" t="s">
        <v>162</v>
      </c>
      <c r="AC72" s="262" t="s">
        <v>161</v>
      </c>
    </row>
    <row r="81" spans="4:4" x14ac:dyDescent="0.25">
      <c r="D81" s="104"/>
    </row>
    <row r="90" spans="4:4" ht="18.75" x14ac:dyDescent="0.3">
      <c r="D90" s="103"/>
    </row>
  </sheetData>
  <sheetProtection algorithmName="SHA-512" hashValue="3GAu2TnnSSQSoZedXgIn2GTMKW9q6BhpKUxz/WVMilz2Frlh5iGfSEvLwOcYM2dreG0uyou+OwpHLfR2wNV1Pg==" saltValue="AljEPx+uFjD7xxIU/+L5/A==" spinCount="100000" sheet="1" objects="1" scenarios="1"/>
  <mergeCells count="25">
    <mergeCell ref="B70:AC71"/>
    <mergeCell ref="V37:V39"/>
    <mergeCell ref="AC44:AC45"/>
    <mergeCell ref="Y37:Y39"/>
    <mergeCell ref="AB37:AB39"/>
    <mergeCell ref="W37:W39"/>
    <mergeCell ref="X37:X39"/>
    <mergeCell ref="V44:AB45"/>
    <mergeCell ref="AC36:AC39"/>
    <mergeCell ref="M36:AB36"/>
    <mergeCell ref="T37:T39"/>
    <mergeCell ref="U37:U39"/>
    <mergeCell ref="Z37:Z39"/>
    <mergeCell ref="AA37:AA39"/>
    <mergeCell ref="M37:S38"/>
    <mergeCell ref="B44:U45"/>
    <mergeCell ref="C38:D38"/>
    <mergeCell ref="E38:G38"/>
    <mergeCell ref="H38:L38"/>
    <mergeCell ref="B33:D33"/>
    <mergeCell ref="C31:D31"/>
    <mergeCell ref="C32:D32"/>
    <mergeCell ref="C34:D34"/>
    <mergeCell ref="C35:D35"/>
    <mergeCell ref="C36:D3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locked="0" defaultSize="0" print="0" autoLine="0" autoPict="0">
                <anchor moveWithCells="1">
                  <from>
                    <xdr:col>2</xdr:col>
                    <xdr:colOff>9525</xdr:colOff>
                    <xdr:row>40</xdr:row>
                    <xdr:rowOff>9525</xdr:rowOff>
                  </from>
                  <to>
                    <xdr:col>2</xdr:col>
                    <xdr:colOff>1352550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Drop Down 3">
              <controlPr locked="0" defaultSize="0" autoLine="0" autoPict="0">
                <anchor moveWithCells="1">
                  <from>
                    <xdr:col>2</xdr:col>
                    <xdr:colOff>9525</xdr:colOff>
                    <xdr:row>41</xdr:row>
                    <xdr:rowOff>9525</xdr:rowOff>
                  </from>
                  <to>
                    <xdr:col>2</xdr:col>
                    <xdr:colOff>1352550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locked="0" defaultSize="0" autoLine="0" autoPict="0">
                <anchor moveWithCells="1">
                  <from>
                    <xdr:col>2</xdr:col>
                    <xdr:colOff>9525</xdr:colOff>
                    <xdr:row>42</xdr:row>
                    <xdr:rowOff>9525</xdr:rowOff>
                  </from>
                  <to>
                    <xdr:col>2</xdr:col>
                    <xdr:colOff>1352550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7" name="Drop Down 1">
              <controlPr locked="0" defaultSize="0" autoLine="0" autoPict="0">
                <anchor moveWithCells="1">
                  <from>
                    <xdr:col>2</xdr:col>
                    <xdr:colOff>19050</xdr:colOff>
                    <xdr:row>39</xdr:row>
                    <xdr:rowOff>19050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8" name="Group Box 39">
              <controlPr defaultSize="0" autoFill="0" autoPict="0">
                <anchor moveWithCells="1">
                  <from>
                    <xdr:col>1</xdr:col>
                    <xdr:colOff>0</xdr:colOff>
                    <xdr:row>45</xdr:row>
                    <xdr:rowOff>190500</xdr:rowOff>
                  </from>
                  <to>
                    <xdr:col>29</xdr:col>
                    <xdr:colOff>9525</xdr:colOff>
                    <xdr:row>71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1:U63"/>
  <sheetViews>
    <sheetView showGridLines="0" showRowColHeaders="0" topLeftCell="A4" zoomScale="70" zoomScaleNormal="70" workbookViewId="0">
      <selection activeCell="AO28" sqref="AO28"/>
    </sheetView>
  </sheetViews>
  <sheetFormatPr defaultRowHeight="15" x14ac:dyDescent="0.25"/>
  <sheetData>
    <row r="1" spans="2:20" x14ac:dyDescent="0.25">
      <c r="B1" s="92" t="s">
        <v>98</v>
      </c>
    </row>
    <row r="2" spans="2:20" ht="14.45" customHeight="1" x14ac:dyDescent="0.25">
      <c r="B2" s="182" t="s">
        <v>104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91"/>
      <c r="O2" s="91"/>
      <c r="P2" s="91"/>
      <c r="Q2" s="91"/>
      <c r="R2" s="91"/>
      <c r="S2" s="91"/>
      <c r="T2" s="91"/>
    </row>
    <row r="3" spans="2:20" x14ac:dyDescent="0.25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2:20" x14ac:dyDescent="0.25">
      <c r="B4" t="s">
        <v>108</v>
      </c>
    </row>
    <row r="6" spans="2:20" x14ac:dyDescent="0.25">
      <c r="B6" t="s">
        <v>107</v>
      </c>
    </row>
    <row r="8" spans="2:20" x14ac:dyDescent="0.25">
      <c r="B8" t="s">
        <v>99</v>
      </c>
    </row>
    <row r="10" spans="2:20" x14ac:dyDescent="0.25">
      <c r="B10" t="s">
        <v>100</v>
      </c>
      <c r="D10" t="s">
        <v>103</v>
      </c>
    </row>
    <row r="14" spans="2:20" x14ac:dyDescent="0.25">
      <c r="H14" s="97">
        <f>1.7</f>
        <v>1.7</v>
      </c>
      <c r="I14" s="97" t="s">
        <v>101</v>
      </c>
    </row>
    <row r="18" spans="2:11" x14ac:dyDescent="0.25">
      <c r="B18" s="97" t="s">
        <v>102</v>
      </c>
    </row>
    <row r="21" spans="2:11" x14ac:dyDescent="0.25">
      <c r="K21" s="97" t="s">
        <v>106</v>
      </c>
    </row>
    <row r="62" spans="2:21" ht="18" customHeight="1" x14ac:dyDescent="0.25">
      <c r="B62" s="255" t="s">
        <v>105</v>
      </c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</row>
    <row r="63" spans="2:21" ht="18" customHeight="1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</row>
  </sheetData>
  <sheetProtection algorithmName="SHA-512" hashValue="j6Ik3apoPA1LMAigGCuGjM/ZljCtM/R00CraIa8polWoo3u5wOTOIyVinBCmONlanSY0QQnXN8CddK4AI8HIpQ==" saltValue="YzwDFQpazcapq4iGz91uqw==" spinCount="100000" sheet="1" objects="1" scenarios="1"/>
  <mergeCells count="1">
    <mergeCell ref="B62:U63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S62"/>
  <sheetViews>
    <sheetView zoomScale="73" zoomScaleNormal="73" workbookViewId="0">
      <selection activeCell="M26" sqref="M26"/>
    </sheetView>
  </sheetViews>
  <sheetFormatPr defaultRowHeight="15" x14ac:dyDescent="0.25"/>
  <cols>
    <col min="1" max="1" width="28.42578125" bestFit="1" customWidth="1"/>
    <col min="2" max="2" width="8.85546875" customWidth="1"/>
    <col min="3" max="3" width="10" bestFit="1" customWidth="1"/>
    <col min="8" max="8" width="17.5703125" bestFit="1" customWidth="1"/>
    <col min="9" max="9" width="10.140625" bestFit="1" customWidth="1"/>
  </cols>
  <sheetData>
    <row r="1" spans="1:13" x14ac:dyDescent="0.25">
      <c r="A1" s="92" t="s">
        <v>82</v>
      </c>
    </row>
    <row r="12" spans="1:13" x14ac:dyDescent="0.25">
      <c r="A12" s="92" t="s">
        <v>83</v>
      </c>
      <c r="B12" s="258" t="s">
        <v>127</v>
      </c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</row>
    <row r="13" spans="1:13" x14ac:dyDescent="0.25"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</row>
    <row r="14" spans="1:13" x14ac:dyDescent="0.25"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</row>
    <row r="15" spans="1:13" x14ac:dyDescent="0.25"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</row>
    <row r="16" spans="1:13" x14ac:dyDescent="0.25"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</row>
    <row r="17" spans="1:19" x14ac:dyDescent="0.25"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</row>
    <row r="18" spans="1:19" x14ac:dyDescent="0.25">
      <c r="A18" s="93" t="s">
        <v>68</v>
      </c>
    </row>
    <row r="27" spans="1:19" x14ac:dyDescent="0.25">
      <c r="J27" s="97"/>
    </row>
    <row r="31" spans="1:19" x14ac:dyDescent="0.25">
      <c r="A31" s="92" t="s">
        <v>84</v>
      </c>
      <c r="H31" s="257" t="s">
        <v>95</v>
      </c>
      <c r="I31" s="257"/>
      <c r="P31" s="260" t="s">
        <v>128</v>
      </c>
      <c r="Q31" s="260"/>
      <c r="R31" s="260"/>
      <c r="S31" s="260"/>
    </row>
    <row r="32" spans="1:19" x14ac:dyDescent="0.25">
      <c r="H32" s="88" t="s">
        <v>86</v>
      </c>
      <c r="I32" s="88" t="s">
        <v>92</v>
      </c>
    </row>
    <row r="33" spans="1:17" x14ac:dyDescent="0.25">
      <c r="H33" s="23" t="s">
        <v>87</v>
      </c>
      <c r="I33" s="18">
        <v>1.3</v>
      </c>
    </row>
    <row r="34" spans="1:17" x14ac:dyDescent="0.25">
      <c r="H34" s="23" t="s">
        <v>88</v>
      </c>
      <c r="I34" s="18">
        <v>1</v>
      </c>
    </row>
    <row r="35" spans="1:17" x14ac:dyDescent="0.25">
      <c r="H35" s="23" t="s">
        <v>89</v>
      </c>
      <c r="I35" s="18">
        <v>1</v>
      </c>
    </row>
    <row r="36" spans="1:17" x14ac:dyDescent="0.25">
      <c r="H36" s="23" t="s">
        <v>74</v>
      </c>
      <c r="I36" s="18">
        <v>3.2</v>
      </c>
    </row>
    <row r="37" spans="1:17" x14ac:dyDescent="0.25">
      <c r="H37" s="23" t="s">
        <v>90</v>
      </c>
      <c r="I37" s="18">
        <v>3</v>
      </c>
    </row>
    <row r="38" spans="1:17" x14ac:dyDescent="0.25">
      <c r="H38" s="23" t="s">
        <v>59</v>
      </c>
      <c r="I38" s="18">
        <v>2</v>
      </c>
    </row>
    <row r="39" spans="1:17" x14ac:dyDescent="0.25">
      <c r="H39" s="23" t="s">
        <v>91</v>
      </c>
      <c r="I39" s="18">
        <v>1</v>
      </c>
    </row>
    <row r="41" spans="1:17" ht="14.45" customHeight="1" x14ac:dyDescent="0.25">
      <c r="A41" s="259" t="s">
        <v>155</v>
      </c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86"/>
      <c r="Q41" s="86"/>
    </row>
    <row r="42" spans="1:17" x14ac:dyDescent="0.25">
      <c r="A42" s="259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86"/>
      <c r="Q42" s="86"/>
    </row>
    <row r="43" spans="1:17" x14ac:dyDescent="0.25">
      <c r="A43" s="259"/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86"/>
      <c r="Q43" s="86"/>
    </row>
    <row r="44" spans="1:17" x14ac:dyDescent="0.25">
      <c r="A44" s="259"/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86"/>
      <c r="Q44" s="86"/>
    </row>
    <row r="45" spans="1:17" x14ac:dyDescent="0.25">
      <c r="A45" s="259"/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86"/>
      <c r="Q45" s="86"/>
    </row>
    <row r="46" spans="1:17" x14ac:dyDescent="0.25">
      <c r="A46" s="259"/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</row>
    <row r="48" spans="1:17" ht="14.45" customHeight="1" x14ac:dyDescent="0.25"/>
    <row r="49" spans="1:15" ht="14.45" customHeight="1" x14ac:dyDescent="0.25">
      <c r="A49" s="8" t="s">
        <v>18</v>
      </c>
      <c r="B49" s="8"/>
      <c r="C49" s="13">
        <v>1.79E-6</v>
      </c>
      <c r="D49" s="8" t="s">
        <v>19</v>
      </c>
      <c r="E49" s="86"/>
    </row>
    <row r="50" spans="1:15" x14ac:dyDescent="0.25">
      <c r="A50" s="8" t="s">
        <v>109</v>
      </c>
      <c r="B50" s="8"/>
      <c r="C50" s="13">
        <v>6.0000000000000002E-6</v>
      </c>
      <c r="D50" s="8" t="s">
        <v>19</v>
      </c>
      <c r="E50" s="86"/>
    </row>
    <row r="51" spans="1:15" x14ac:dyDescent="0.25">
      <c r="A51" s="8" t="s">
        <v>21</v>
      </c>
      <c r="B51" s="8"/>
      <c r="C51" s="14">
        <f>C50/C49</f>
        <v>3.3519553072625698</v>
      </c>
      <c r="D51" s="8"/>
      <c r="E51" s="86"/>
    </row>
    <row r="52" spans="1:15" x14ac:dyDescent="0.25">
      <c r="A52" s="9" t="s">
        <v>29</v>
      </c>
      <c r="B52" s="9"/>
      <c r="C52" s="12">
        <v>1000.3</v>
      </c>
      <c r="D52" s="9" t="s">
        <v>30</v>
      </c>
      <c r="E52" s="86"/>
    </row>
    <row r="53" spans="1:15" x14ac:dyDescent="0.25">
      <c r="A53" s="9" t="s">
        <v>110</v>
      </c>
      <c r="B53" s="9"/>
      <c r="C53" s="12">
        <v>972</v>
      </c>
      <c r="D53" s="9" t="s">
        <v>30</v>
      </c>
      <c r="E53" s="86"/>
    </row>
    <row r="54" spans="1:15" x14ac:dyDescent="0.25">
      <c r="A54" s="94" t="s">
        <v>81</v>
      </c>
      <c r="B54" s="94"/>
      <c r="C54" s="94"/>
      <c r="D54" s="95">
        <v>4282</v>
      </c>
      <c r="E54" s="91" t="s">
        <v>80</v>
      </c>
    </row>
    <row r="56" spans="1:15" x14ac:dyDescent="0.25">
      <c r="A56" s="258" t="s">
        <v>112</v>
      </c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</row>
    <row r="57" spans="1:15" x14ac:dyDescent="0.25">
      <c r="A57" s="258"/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</row>
    <row r="58" spans="1:15" x14ac:dyDescent="0.25">
      <c r="A58" s="258"/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</row>
    <row r="59" spans="1:15" x14ac:dyDescent="0.25">
      <c r="A59" s="258"/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</row>
    <row r="60" spans="1:15" x14ac:dyDescent="0.25">
      <c r="A60" s="258"/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</row>
    <row r="61" spans="1:15" x14ac:dyDescent="0.25">
      <c r="A61" s="258"/>
      <c r="B61" s="258"/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</row>
    <row r="62" spans="1:15" x14ac:dyDescent="0.25">
      <c r="A62" s="258"/>
      <c r="B62" s="258"/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</row>
  </sheetData>
  <sheetProtection algorithmName="SHA-512" hashValue="TDNvFsTM3S0W5OProno8ecrr8LYXknGYf99SYQGyWeeH0nIZfbVlUDxYl/ghSVijTpGX0WxW//0119dX+QAkNA==" saltValue="umtkZzwrgjABBb3ms0KNOQ==" spinCount="100000" sheet="1" objects="1" scenarios="1"/>
  <mergeCells count="5">
    <mergeCell ref="H31:I31"/>
    <mergeCell ref="A56:O62"/>
    <mergeCell ref="A41:O46"/>
    <mergeCell ref="B12:M17"/>
    <mergeCell ref="P31:S3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/>
  <dimension ref="A1"/>
  <sheetViews>
    <sheetView workbookViewId="0">
      <selection activeCell="J14" sqref="J14"/>
    </sheetView>
  </sheetViews>
  <sheetFormatPr defaultRowHeight="15" x14ac:dyDescent="0.25"/>
  <sheetData/>
  <sheetProtection password="DC53" sheet="1" objects="1" scenarios="1"/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"/>
  <sheetViews>
    <sheetView zoomScale="115" zoomScaleNormal="115" workbookViewId="0">
      <selection activeCell="M21" sqref="M21"/>
    </sheetView>
  </sheetViews>
  <sheetFormatPr defaultRowHeight="15" x14ac:dyDescent="0.25"/>
  <sheetData/>
  <sheetProtection password="DC53" sheet="1" objects="1" scenarios="1"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31"/>
  <sheetViews>
    <sheetView workbookViewId="0">
      <selection activeCell="A38" sqref="A38"/>
    </sheetView>
  </sheetViews>
  <sheetFormatPr defaultRowHeight="15" x14ac:dyDescent="0.25"/>
  <sheetData>
    <row r="31" spans="1:1" x14ac:dyDescent="0.25">
      <c r="A31" t="s">
        <v>156</v>
      </c>
    </row>
  </sheetData>
  <sheetProtection algorithmName="SHA-512" hashValue="+MX6Spgo4BfN5YifXpED4ql4zS1sk4pUgksDcHc9IpXGN7nbsdrV/ym/MM7r8l0zpHXlG/APO/by/f/JVk+BTA==" saltValue="RdNvMh9zMWRljUs/evEJjw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Teorie</vt:lpstr>
      <vt:lpstr>Návod</vt:lpstr>
      <vt:lpstr>Výpočet tlakových ztrát</vt:lpstr>
      <vt:lpstr>Vzorový příklad</vt:lpstr>
      <vt:lpstr>Použité vzorce</vt:lpstr>
      <vt:lpstr>Graf PE potrubí</vt:lpstr>
      <vt:lpstr>Grafy filtrballů</vt:lpstr>
      <vt:lpstr>Nemrznoucí směs</vt:lpstr>
      <vt:lpstr>'Výpočet tlakových ztrát'!Oblast_tisku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Petr</dc:creator>
  <cp:lastModifiedBy>Michal Petr</cp:lastModifiedBy>
  <cp:lastPrinted>2019-05-18T21:32:18Z</cp:lastPrinted>
  <dcterms:created xsi:type="dcterms:W3CDTF">2019-05-11T18:48:33Z</dcterms:created>
  <dcterms:modified xsi:type="dcterms:W3CDTF">2020-07-02T12:27:15Z</dcterms:modified>
</cp:coreProperties>
</file>